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DieseArbeitsmappe" autoCompressPictures="0"/>
  <mc:AlternateContent xmlns:mc="http://schemas.openxmlformats.org/markup-compatibility/2006">
    <mc:Choice Requires="x15">
      <x15ac:absPath xmlns:x15ac="http://schemas.microsoft.com/office/spreadsheetml/2010/11/ac" url="C:\Users\denis\Downloads\"/>
    </mc:Choice>
  </mc:AlternateContent>
  <xr:revisionPtr revIDLastSave="0" documentId="8_{A78A5726-AA64-419D-A2DB-CF01F9728AF5}" xr6:coauthVersionLast="47" xr6:coauthVersionMax="47" xr10:uidLastSave="{00000000-0000-0000-0000-000000000000}"/>
  <workbookProtection workbookAlgorithmName="SHA-512" workbookHashValue="zDzQGtrCZ61Gy+5FLi8tR1KjD7jjpJRDNJGDrabSiYUxVrBeB9KwqExWJ+7z66/WrzmF9ZADmHOZDFHGyuGhQw==" workbookSaltValue="S+Deg440r8j26eiMqSfLig==" workbookSpinCount="100000" lockStructure="1"/>
  <bookViews>
    <workbookView xWindow="1320" yWindow="1520" windowWidth="17880" windowHeight="9150" tabRatio="916" firstSheet="1" activeTab="1" xr2:uid="{97CE5FF2-B87C-3349-BAC0-8EE73D02B7A0}"/>
  </bookViews>
  <sheets>
    <sheet name="Alert" sheetId="50" state="veryHidden" r:id="rId1"/>
    <sheet name="General Info" sheetId="1" r:id="rId2"/>
    <sheet name="Evaluation Sheet" sheetId="53" r:id="rId3"/>
    <sheet name="Detailed Results" sheetId="19" r:id="rId4"/>
    <sheet name="1. Mandatory Conditions" sheetId="2" r:id="rId5"/>
    <sheet name="2. Lighting" sheetId="3" r:id="rId6"/>
    <sheet name="3. Entry Exit" sheetId="4" r:id="rId7"/>
    <sheet name="4. Parking Area" sheetId="20" r:id="rId8"/>
    <sheet name="5. Ramps" sheetId="30" r:id="rId9"/>
    <sheet name="6. Pedestrian Access" sheetId="21" r:id="rId10"/>
    <sheet name="7. Security equipment" sheetId="23" r:id="rId11"/>
    <sheet name="8. Wayfinding" sheetId="24" r:id="rId12"/>
    <sheet name="9. Comfort" sheetId="25" r:id="rId13"/>
    <sheet name="10. Energy Environment" sheetId="26" r:id="rId14"/>
    <sheet name="Minus" sheetId="27" r:id="rId15"/>
    <sheet name="Bonus" sheetId="28" r:id="rId16"/>
    <sheet name="Mandatory Conditions Gold Award" sheetId="40" r:id="rId17"/>
    <sheet name="Questions" sheetId="52" state="hidden" r:id="rId18"/>
    <sheet name="Languages Old" sheetId="31" state="hidden" r:id="rId19"/>
    <sheet name="Answers" sheetId="33" state="hidden" r:id="rId20"/>
    <sheet name="Tags" sheetId="34" state="hidden" r:id="rId21"/>
    <sheet name="Help" sheetId="39" state="hidden" r:id="rId22"/>
    <sheet name="Languages Available" sheetId="32" state="hidden" r:id="rId23"/>
    <sheet name="Aux" sheetId="35" state="hidden" r:id="rId24"/>
    <sheet name="Translation Page" sheetId="51" state="hidden" r:id="rId25"/>
    <sheet name="Languages (2)" sheetId="41" state="veryHidden" r:id="rId26"/>
    <sheet name="Options (2)" sheetId="42" state="veryHidden" r:id="rId27"/>
    <sheet name="Tags (2)" sheetId="43" state="veryHidden" r:id="rId28"/>
    <sheet name="Welcome Sheet" sheetId="47" state="veryHidden" r:id="rId29"/>
    <sheet name="Translation Sheet" sheetId="48" state="hidden" r:id="rId30"/>
    <sheet name="Unplugged Translation Sheet" sheetId="49" state="hidden" r:id="rId31"/>
  </sheets>
  <externalReferences>
    <externalReference r:id="rId32"/>
  </externalReferences>
  <definedNames>
    <definedName name="_3.3m">Answers!$D$44:$I$44</definedName>
    <definedName name="changeLangMessage">Tags!$B$68</definedName>
    <definedName name="completionStatus" localSheetId="2">'Evaluation Sheet'!$G$1</definedName>
    <definedName name="completionStatus">'Detailed Results'!$M$1</definedName>
    <definedName name="emvc">'6. Pedestrian Access'!$E$6</definedName>
    <definedName name="essl">'6. Pedestrian Access'!$E$5</definedName>
    <definedName name="fail">Tags!$B$28</definedName>
    <definedName name="floors">'General Info'!$D$30</definedName>
    <definedName name="fvfvf">'[1]5. Ramps'!$C$13</definedName>
    <definedName name="ghghg">[1]Options!$B$23</definedName>
    <definedName name="incomplete">Tags!$B$29</definedName>
    <definedName name="Language_Table" localSheetId="17">Questions!$A$4:$B$8914</definedName>
    <definedName name="Language_Table">'Languages Old'!$A$4:$B$9026</definedName>
    <definedName name="LanguageRange">'Languages Available'!$B$3:$B$10</definedName>
    <definedName name="no">Answers!$B$24</definedName>
    <definedName name="noramps">'5. Ramps'!#REF!</definedName>
    <definedName name="O_4_3">Answers!$B$56:$B$58</definedName>
    <definedName name="OKFail">Answers!$B$20:$B$21</definedName>
    <definedName name="opt_angle">'4. Parking Area'!$E$30</definedName>
    <definedName name="optiob_no_kerbs">Answers!$D$77:$Q$77</definedName>
    <definedName name="option_No_protection_kerbs">Answers!$D$76:$Q$76</definedName>
    <definedName name="option_yes_Kerbs">Answers!$D$75:$Q$75</definedName>
    <definedName name="option4_8">'4. Parking Area'!$I$64</definedName>
    <definedName name="p3_3">Answers!$B$27:$B$29</definedName>
    <definedName name="pass">Tags!$B$27</definedName>
    <definedName name="Q__4_All_Access_Hours">Answers!$D$150:$Q$150</definedName>
    <definedName name="Q_10_4_Irrelevant">Answers!$D$231:$Q$231</definedName>
    <definedName name="Q_10_4_No">Answers!$D$230:$Q$230</definedName>
    <definedName name="Q_10_4_Yes">Answers!$D$229:$Q$229</definedName>
    <definedName name="Q_10_8_1_2_to_5">Answers!$D$235:$Q$235</definedName>
    <definedName name="Q_10_8_1_5_to_10">Answers!$D$234:$Q$234</definedName>
    <definedName name="Q_10_8_1_less_2">Answers!$D$236:$Q$236</definedName>
    <definedName name="Q_10_8_1_more_10">Answers!$D$233:$Q$233</definedName>
    <definedName name="Q_10_8_1_none">Answers!$D$237:$Q$237</definedName>
    <definedName name="Q_10_8_2_10_to_20">Answers!$D$241:$Q$241</definedName>
    <definedName name="Q_10_8_2_4_to_20">Answers!$D$240:$Q$240</definedName>
    <definedName name="Q_10_8_2_less_4">Answers!$D$239:$Q$239</definedName>
    <definedName name="Q_10_8_2_more_20">Answers!$D$242:$Q$242</definedName>
    <definedName name="Q_10_8_2_more_50">Answers!$D$243:$Q$243</definedName>
    <definedName name="Q_10_8_3_100_to_200">Answers!$D$247:$Q$247</definedName>
    <definedName name="Q_10_8_3_50_to_100">Answers!$D$246:$Q$246</definedName>
    <definedName name="Q_10_8_3_less_50">Answers!$D$245:$Q$245</definedName>
    <definedName name="Q_10_8_3_more_200">Answers!$D$248:$Q$248</definedName>
    <definedName name="Q_10_9_1_1_to_5">Answers!$D$252:$Q$252</definedName>
    <definedName name="Q_10_9_1_5_to_10">Answers!$D$251:$Q$251</definedName>
    <definedName name="Q_10_9_1_more_10">Answers!$D$250:$Q$250</definedName>
    <definedName name="Q_10_9_1_none">Answers!$D$253:$Q$253</definedName>
    <definedName name="Q_10_9_3_1_to_10">Answers!$D$256:$Q$256</definedName>
    <definedName name="Q_10_9_3_more_10">Answers!$E$255:$Q$255</definedName>
    <definedName name="Q_10_9_3_none">Answers!$D$257:$Q$257</definedName>
    <definedName name="Q_3_11_3_to_3_30">Answers!$D$43:$Q$43</definedName>
    <definedName name="Q_3_11_above_3_30">Answers!$D$44:$I$44</definedName>
    <definedName name="Q_3_11_less_than_3">Answers!$D$42:$Q$42</definedName>
    <definedName name="Q_3_3_Alt_less_then_4">Answers!$D$93:$Q$93</definedName>
    <definedName name="Q_3_3_Alt_more_then_4">Answers!$D$93:$Q$93</definedName>
    <definedName name="Q_3_3_Clear_Signing">Answers!$D$27:$Q$27</definedName>
    <definedName name="Q_3_3_Incomplete_Signing">Answers!$D$28:$Q$28</definedName>
    <definedName name="Q_3_3_No_Signing">Answers!$D$29:$Q$29</definedName>
    <definedName name="Q_3_6_0_to_2">Answers!$D$31:$Q$31</definedName>
    <definedName name="Q_3_6_2_to_5">Answers!$D$32:$Q$32</definedName>
    <definedName name="Q_3_6_above_5">Answers!$D$33:$Q$33</definedName>
    <definedName name="Q_3_7_no_kerbs">Answers!$D$37:$Q$37</definedName>
    <definedName name="Q_3_7_no_protection">Answers!$D$36:$Q$36</definedName>
    <definedName name="Q_3_7_Yes">Answers!$D$35:$Q$35</definedName>
    <definedName name="Q_3_8_Anti_Slip">Answers!$D$39:$Q$39</definedName>
    <definedName name="Q_3_8_slippery_when_wet">Answers!$D$40:$Q$40</definedName>
    <definedName name="Q_4_1">Answers!$B$46:$B$49</definedName>
    <definedName name="Q_4_1_Pillar_at_Back_of_Stall">Answers!$D$49:$Q$49</definedName>
    <definedName name="Q_4_1_Pillar_Beginning_Stall">Answers!$D$47:$Q$47</definedName>
    <definedName name="Q_4_1_Pillar_Does_Not_Intrude">Answers!$D$46:$Q$46</definedName>
    <definedName name="Q_4_1_Pillar_next_car_door">Answers!$D$48:$Q$48</definedName>
    <definedName name="Q_4_10_Compliant_with_Table">Answers!$D$70:$Q$70</definedName>
    <definedName name="Q_4_10_more_60">Answers!$D$73:$Q$73</definedName>
    <definedName name="Q_4_10_up_30_less">Answers!$D$71:$Q$71</definedName>
    <definedName name="Q_4_10_up_60_less">Answers!$D$72:$Q$72</definedName>
    <definedName name="Q_4_2">Answers!$B$51:$B$54</definedName>
    <definedName name="Q_4_2_Basic_Quality">Answers!$D$52:$Q$52</definedName>
    <definedName name="Q_4_2_Good_Quality">Answers!$D$51:$Q$51</definedName>
    <definedName name="Q_4_2_No_Pillars">Answers!$D$54:$Q$54</definedName>
    <definedName name="Q_4_2_None">Answers!$D$53:$Q$53</definedName>
    <definedName name="Q_4_3_Bad">Answers!$D$58:$Q$58</definedName>
    <definedName name="Q_4_3_Good">Answers!$D$56:$Q$56</definedName>
    <definedName name="Q_4_3_Medium">Answers!$D$57:$Q$57</definedName>
    <definedName name="Q_4_8">Answers!$B$60:$B$61</definedName>
    <definedName name="Q_4_8_45_75">Answers!$D$61:$Q$61</definedName>
    <definedName name="Q_4_8_75_90">Answers!$D$60:$Q$60</definedName>
    <definedName name="Q_5_1_Antislip">Answers!$D$79:$Q$79</definedName>
    <definedName name="Q_5_1_NoRamps">Answers!$D$81:$Q$81</definedName>
    <definedName name="Q_5_1_Smooth">Answers!$D$80:$Q$80</definedName>
    <definedName name="Q_5_2_10_to_15">Answers!$D$84:$Q$84</definedName>
    <definedName name="Q_5_2_less10">Answers!$D$83:$Q$83</definedName>
    <definedName name="Q_5_2_More_than_15">Answers!$D$85:$Q$85</definedName>
    <definedName name="Q_5_2_No_Ramps">Answers!$D$86:$Q$86</definedName>
    <definedName name="Q_5_3_3_to_330">Answers!$D$89:$Q$89</definedName>
    <definedName name="Q_5_3_Alt_4_to_43">Answers!$D$94:$Q$94</definedName>
    <definedName name="Q_5_3_Alt_more_then_43">Answers!$D$95:$Q$95</definedName>
    <definedName name="Q_5_3_Less_than_3">Answers!$D$88:$Q$88</definedName>
    <definedName name="Q_5_3_more_than_33">Answers!$D$90:$Q$90</definedName>
    <definedName name="Q_5_3_noramps">Answers!$D$91:$Q$91</definedName>
    <definedName name="Q_5_4_9_to_10">Answers!$D$99:$Q$99</definedName>
    <definedName name="Q_5_4_less_than_9m">Answers!$D$98:$Q$98</definedName>
    <definedName name="Q_5_4_more_than_10">Answers!$D$100:$Q$100</definedName>
    <definedName name="Q_5_4_No_Ramps">Answers!$D$101:$Q$101</definedName>
    <definedName name="Q_5_5_75_to_9">Answers!$D$104:$Q$104</definedName>
    <definedName name="Q_5_5_less_75">Answers!$D$103:$Q$103</definedName>
    <definedName name="Q_5_5_more_then_9">Answers!$D$105:$Q$105</definedName>
    <definedName name="Q_5_5_No_Ramps">Answers!$D$106:$Q$106</definedName>
    <definedName name="Q_5_6_5_to_7">Answers!$D$109:$Q$109</definedName>
    <definedName name="Q_5_6_Less_than_5">Answers!$D$108:$Q$108</definedName>
    <definedName name="Q_5_6_more_than_7">Answers!$D$110:$Q$110</definedName>
    <definedName name="Q_5_6_No_Gradient">Answers!$D$111:$Q$111</definedName>
    <definedName name="Q_6_1_2_to_210">Answers!$D$114:$Q$114</definedName>
    <definedName name="Q_6_1_210_to_220">Answers!$D$115:$Q$115</definedName>
    <definedName name="Q_6_1_Less_Than_2">Answers!$D$113:$Q$113</definedName>
    <definedName name="Q_6_1_more_than_220">Answers!$D$116:$Q$116</definedName>
    <definedName name="Q_6_10_1_lee_than_90">Answers!$D$136:$Q$136</definedName>
    <definedName name="Q_6_10_1_more_then_90">Answers!$D$137:$Q$137</definedName>
    <definedName name="Q_6_10_3_Glazed">Answers!$D$139:$Q$139</definedName>
    <definedName name="Q_6_10_3_No_Glass">Answers!$D$140:$Q$140</definedName>
    <definedName name="Q_6_12_1_less">Answers!$D$133:$Q$133</definedName>
    <definedName name="Q_6_12_1_more">Answers!$D$134:$Q$134</definedName>
    <definedName name="Q_6_12_2_No_handrail">Answers!$D$142:$Q$142</definedName>
    <definedName name="Q_6_12_2_One_Side">Answers!$D$143:$Q$143</definedName>
    <definedName name="Q_6_12_2_two_sides">Answers!$D$144:$Q$144</definedName>
    <definedName name="Q_6_13_None">Answers!$D$147:$Q$147</definedName>
    <definedName name="Q_6_13_Window_Grill">Answers!$D$146:$Q$146</definedName>
    <definedName name="Q_6_3_Easy_to_Open">Answers!$D$119:$Q$119</definedName>
    <definedName name="Q_6_3_No">Answers!$D$120:$Q$120</definedName>
    <definedName name="Q_6_3_Yes_Automatic">Answers!$D$118:$Q$118</definedName>
    <definedName name="Q_6_5_More_Elevators">Answers!$D$123:$Q$123</definedName>
    <definedName name="Q_6_5_One_Elevator">Answers!$D$122:$Q$122</definedName>
    <definedName name="Q_6_6_4_to_8">Answers!$D$126:$Q$126</definedName>
    <definedName name="Q_6_6_Less_Then_4">Answers!$D$127:$Q$127</definedName>
    <definedName name="Q_6_6_More_Then_8">Answers!$D$125:$Q$125</definedName>
    <definedName name="Q_6_7_Glazed_Doors">Answers!$D$130:$Q$130</definedName>
    <definedName name="Q_6_7_No_Elevator">Answers!$D$131:$Q$131</definedName>
    <definedName name="Q_6_7_No_Visibility">Answers!$D$129:$Q$129</definedName>
    <definedName name="Q_7_4_24_7">Answers!$D$149:$Q$149</definedName>
    <definedName name="Q_7_4_All_Access_Hours">Answers!$D$150:$Q$150</definedName>
    <definedName name="Q_7_4_PartTime">Answers!$D$151:$Q$151</definedName>
    <definedName name="Q_7_5_24_7">Answers!$D$153:$Q$153</definedName>
    <definedName name="Q_7_5_Access_Times">Answers!$D$154:$Q$154</definedName>
    <definedName name="Q_7_5_Less_Then">Answers!$D$155:$Q$155</definedName>
    <definedName name="Q_7_5_No">Answers!$D$156:$Q$156</definedName>
    <definedName name="Q_7_6_Closed">Answers!$D$158:$Q$158</definedName>
    <definedName name="Q_7_6_No_Provisions">Answers!$D$161:$Q$161</definedName>
    <definedName name="Q_7_6_Secured">Answers!$D$159:$Q$159</definedName>
    <definedName name="Q_7_6_Slow_Opening">Answers!$D$160:$Q$160</definedName>
    <definedName name="Q_7_7_Irrelevant">Answers!$D$166:$Q$166</definedName>
    <definedName name="Q_7_7_Less_then_15">Answers!$D$163:$Q$163</definedName>
    <definedName name="Q_7_7_more_than_15">Answers!$D$164:$Q$164</definedName>
    <definedName name="Q_7_7_No_Provisions">Answers!$D$165:$Q$165</definedName>
    <definedName name="Q_7_8_Irrelevant">Answers!$D$170:$Q$170</definedName>
    <definedName name="Q_7_8_Less_than_15">Answers!$D$168:$Q$168</definedName>
    <definedName name="Q_7_8_More_than_15">Answers!$D$169:$Q$169</definedName>
    <definedName name="Q_8_1_Parking_Floor">Answers!$D$172:$Q$172</definedName>
    <definedName name="Q_8_1_Parking_Floor_Bad">Answers!$D$173:$Q$173</definedName>
    <definedName name="Q_8_10_Every">Answers!$D$203:$Q$203</definedName>
    <definedName name="Q_8_10_No">Answers!$D$205:$Q$205</definedName>
    <definedName name="Q_8_10_One">Answers!$D$204:$Q$204</definedName>
    <definedName name="Q_8_2_Adequate">Answers!$D$176:$Q$176</definedName>
    <definedName name="Q_8_2_Good">Answers!$D$175:$Q$175</definedName>
    <definedName name="Q_8_2_No">Answers!$D$178:$Q$178</definedName>
    <definedName name="Q_8_2_Poor">Answers!$D$177:$Q$177</definedName>
    <definedName name="Q_8_3_all">Answers!$D$180:$Q$180</definedName>
    <definedName name="Q_8_3_most">Answers!$D$181:$Q$181</definedName>
    <definedName name="Q_8_3_no">Answers!$D$183:$Q$183</definedName>
    <definedName name="Q_8_3_some">Answers!$D$182:$Q$182</definedName>
    <definedName name="Q_8_4_Adequate">Answers!$D$186:$Q$186</definedName>
    <definedName name="Q_8_4_good">Answers!$D$185:$Q$185</definedName>
    <definedName name="Q_8_4_none">Answers!$D$188:$Q$188</definedName>
    <definedName name="Q_8_4_poor">Answers!$D$187:$Q$187</definedName>
    <definedName name="Q_8_4_SLCP">Answers!$D$189:$Q$189</definedName>
    <definedName name="Q_8_5_Good">Answers!$D$191:$Q$191</definedName>
    <definedName name="Q_8_5_None">Answers!$D$193:$Q$193</definedName>
    <definedName name="Q_8_5_Some">Answers!$D$192:$Q$192</definedName>
    <definedName name="Q_8_6_just_numbers">Answers!$D$196:$Q$196</definedName>
    <definedName name="Q_8_6_nifi">Answers!$D$195:$Q$195</definedName>
    <definedName name="Q_8_6_none">Answers!$D$197:$Q$197</definedName>
    <definedName name="Q_8_8_2_Available">Answers!$D$199:$Q$199</definedName>
    <definedName name="Q_8_8_2_Full_Free">Answers!$D$200:$Q$200</definedName>
    <definedName name="Q_8_8_2_None">Answers!$D$201:$Q$201</definedName>
    <definedName name="Q_9_4_ANPR">Answers!$D$209:$Q$209</definedName>
    <definedName name="Q_9_4_No">Answers!$D$208:$Q$208</definedName>
    <definedName name="Q_9_4_Yes">Answers!$D$207:$Q$207</definedName>
    <definedName name="Q_9_5_1_more_than_one">Answers!$D$212:$Q$212</definedName>
    <definedName name="Q_9_5_1_more_than_one_Each">Answers!$D$214:$Q$214</definedName>
    <definedName name="Q_9_5_1_One">Answers!$D$211:$Q$211</definedName>
    <definedName name="Q_9_5_1_One_each">Answers!$D$213:$Q$213</definedName>
    <definedName name="Q_9_5_2_More_One_Every_50">Answers!$D$218:$Q$218</definedName>
    <definedName name="Q_9_5_2_One">Answers!$D$216:$Q$216</definedName>
    <definedName name="Q_9_5_2_One_every_50">Answers!$D$217:$I$217</definedName>
    <definedName name="Q_9_6_3_Mafe_Female">Answers!$D$221:$Q$221</definedName>
    <definedName name="Q_9_6_3_Unisex">Answers!$D$220:$Q$220</definedName>
    <definedName name="Q_9_7_1_Colored_Pillars">Answers!$D$223:$Q$223</definedName>
    <definedName name="Q_9_7_1_No_Concrete_Grey">Answers!$D$224:$Q$224</definedName>
    <definedName name="Q_9_7_2_Colored_Walls">Answers!$D$226:$Q$226</definedName>
    <definedName name="Q_9_7_2_Concrete_Grey">Answers!$D$227:$Q$227</definedName>
    <definedName name="Q_B_5_All_Levels">Answers!$D$259:$Q$259</definedName>
    <definedName name="Q_B_5_None">Answers!$D$261:$Q$261</definedName>
    <definedName name="Q_B_5_Some_Levels">Answers!$D$260:$Q$260</definedName>
    <definedName name="Q_B_8_Departure_Times">Answers!$D$265:$Q$265</definedName>
    <definedName name="Q_B_8_No">Answers!$D$264:$Q$264</definedName>
    <definedName name="Q_B_8_Yes">Answers!$D$263:$Q$263</definedName>
    <definedName name="Q_Basic_Quality">Answers!$D$52:$Q$52</definedName>
    <definedName name="Q_Good_Quality">Answers!$D$51:$Q$51</definedName>
    <definedName name="Q_None_q">Answers!$B$53:$Q$53</definedName>
    <definedName name="Question_Irrelevant">Answers!$D$25:$Q$25</definedName>
    <definedName name="Question_YN_No">Answers!$D$24:$Q$24</definedName>
    <definedName name="Question_YN_Yes">Answers!$D$23:$Q$23</definedName>
    <definedName name="rampsCurved">'5. Ramps'!$E$7</definedName>
    <definedName name="slcp">'6. Pedestrian Access'!$E$4</definedName>
    <definedName name="spaces">'General Info'!$D$28</definedName>
    <definedName name="Tags">Tags!$A$4:$B$152</definedName>
    <definedName name="timeofday" localSheetId="20">Tags!$B$20:$B$22</definedName>
    <definedName name="timeofday">Answers!$B$4:$B$6</definedName>
    <definedName name="transArea">'Unplugged Translation Sheet'!#REF!,'Unplugged Translation Sheet'!#REF!,'Unplugged Translation Sheet'!#REF!</definedName>
    <definedName name="weatherconditions" localSheetId="20">Tags!$B$24:$B$28</definedName>
    <definedName name="weatherconditions">Answers!$B$8:$B$12</definedName>
    <definedName name="yes">Answers!$B$23</definedName>
    <definedName name="YesNo">Answers!$B$23:$B$24</definedName>
    <definedName name="_xlnm.Print_Area" localSheetId="4">'1. Mandatory Conditions'!$A:$G</definedName>
    <definedName name="_xlnm.Print_Area" localSheetId="13">'10. Energy Environment'!$A$1:$J$53</definedName>
    <definedName name="_xlnm.Print_Area" localSheetId="5">'2. Lighting'!$A$1:$J$47</definedName>
    <definedName name="_xlnm.Print_Area" localSheetId="6">'3. Entry Exit'!$A$1:$J$58</definedName>
    <definedName name="_xlnm.Print_Area" localSheetId="7">'4. Parking Area'!$A$1:$J$62</definedName>
    <definedName name="_xlnm.Print_Area" localSheetId="8">'5. Ramps'!$A$1:$J$37</definedName>
    <definedName name="_xlnm.Print_Area" localSheetId="9">'6. Pedestrian Access'!$A$1:$J$55</definedName>
    <definedName name="_xlnm.Print_Area" localSheetId="10">'7. Security equipment'!$A$1:$J$53</definedName>
    <definedName name="_xlnm.Print_Area" localSheetId="11">'8. Wayfinding'!$1:$52</definedName>
    <definedName name="_xlnm.Print_Area" localSheetId="12">'9. Comfort'!$A$1:$J$72</definedName>
    <definedName name="_xlnm.Print_Area" localSheetId="15">Bonus!$A$1:$J$57</definedName>
    <definedName name="_xlnm.Print_Area" localSheetId="3">'Detailed Results'!$A$1:$M$22</definedName>
    <definedName name="_xlnm.Print_Area" localSheetId="2">'Evaluation Sheet'!$A$1:$G$25,'Evaluation Sheet'!$I$1:$O$25</definedName>
    <definedName name="_xlnm.Print_Area" localSheetId="1">'General Info'!$A$1:$F$41</definedName>
    <definedName name="_xlnm.Print_Area" localSheetId="16">'Mandatory Conditions Gold Award'!$A$1:$I$9</definedName>
    <definedName name="_xlnm.Print_Area" localSheetId="14">Minus!$A$1:$J$56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30" l="1"/>
  <c r="I5" i="30"/>
  <c r="G31" i="4"/>
  <c r="G25" i="25"/>
  <c r="G31" i="27"/>
  <c r="K3" i="52"/>
  <c r="K3" i="34"/>
  <c r="K3" i="33"/>
  <c r="O3" i="52"/>
  <c r="N3" i="52"/>
  <c r="M3" i="52"/>
  <c r="L3" i="52"/>
  <c r="J3" i="52"/>
  <c r="H3" i="52"/>
  <c r="I3" i="52"/>
  <c r="J3" i="33"/>
  <c r="J3" i="34"/>
  <c r="C3" i="1" l="1"/>
  <c r="L13" i="53" l="1"/>
  <c r="L12" i="53"/>
  <c r="L11" i="53"/>
  <c r="L10" i="53"/>
  <c r="L9" i="53"/>
  <c r="L8" i="53"/>
  <c r="L7" i="53"/>
  <c r="L6" i="53"/>
  <c r="L5" i="53"/>
  <c r="M18" i="53"/>
  <c r="I17" i="53"/>
  <c r="I16" i="53"/>
  <c r="M14" i="53"/>
  <c r="I9" i="53"/>
  <c r="I8" i="53"/>
  <c r="I7" i="53"/>
  <c r="I6" i="53"/>
  <c r="I5" i="53"/>
  <c r="A5" i="53"/>
  <c r="A6" i="53"/>
  <c r="A7" i="53"/>
  <c r="A8" i="53"/>
  <c r="A9" i="53"/>
  <c r="A16" i="53"/>
  <c r="A17" i="53"/>
  <c r="E14" i="53"/>
  <c r="B395" i="51"/>
  <c r="B396" i="51"/>
  <c r="B398" i="51"/>
  <c r="B399" i="51"/>
  <c r="B400" i="51"/>
  <c r="B401" i="51"/>
  <c r="B402" i="51"/>
  <c r="B404" i="51"/>
  <c r="B405" i="51"/>
  <c r="B406" i="51"/>
  <c r="B407" i="51"/>
  <c r="B408" i="51"/>
  <c r="B410" i="51"/>
  <c r="B411" i="51"/>
  <c r="B413" i="51"/>
  <c r="B414" i="51"/>
  <c r="B415" i="51"/>
  <c r="B417" i="51"/>
  <c r="B418" i="51"/>
  <c r="B419" i="51"/>
  <c r="B421" i="51"/>
  <c r="B422" i="51"/>
  <c r="B423" i="51"/>
  <c r="B425" i="51"/>
  <c r="B426" i="51"/>
  <c r="B427" i="51"/>
  <c r="B429" i="51"/>
  <c r="B430" i="51"/>
  <c r="B432" i="51"/>
  <c r="B433" i="51"/>
  <c r="B434" i="51"/>
  <c r="B436" i="51"/>
  <c r="B437" i="51"/>
  <c r="B438" i="51"/>
  <c r="B439" i="51"/>
  <c r="B441" i="51"/>
  <c r="B442" i="51"/>
  <c r="B443" i="51"/>
  <c r="B444" i="51"/>
  <c r="B446" i="51"/>
  <c r="B447" i="51"/>
  <c r="B448" i="51"/>
  <c r="B450" i="51"/>
  <c r="B451" i="51"/>
  <c r="B453" i="51"/>
  <c r="B454" i="51"/>
  <c r="B455" i="51"/>
  <c r="B456" i="51"/>
  <c r="B457" i="51"/>
  <c r="B458" i="51"/>
  <c r="B460" i="51"/>
  <c r="B461" i="51"/>
  <c r="B462" i="51"/>
  <c r="B463" i="51"/>
  <c r="B465" i="51"/>
  <c r="B466" i="51"/>
  <c r="B467" i="51"/>
  <c r="B469" i="51"/>
  <c r="B470" i="51"/>
  <c r="B471" i="51"/>
  <c r="B473" i="51"/>
  <c r="B474" i="51"/>
  <c r="B475" i="51"/>
  <c r="B476" i="51"/>
  <c r="B478" i="51"/>
  <c r="B479" i="51"/>
  <c r="B480" i="51"/>
  <c r="B481" i="51"/>
  <c r="B483" i="51"/>
  <c r="B484" i="51"/>
  <c r="B485" i="51"/>
  <c r="B486" i="51"/>
  <c r="B488" i="51"/>
  <c r="B489" i="51"/>
  <c r="B490" i="51"/>
  <c r="B491" i="51"/>
  <c r="B493" i="51"/>
  <c r="B494" i="51"/>
  <c r="B495" i="51"/>
  <c r="B496" i="51"/>
  <c r="B498" i="51"/>
  <c r="B499" i="51"/>
  <c r="B500" i="51"/>
  <c r="B501" i="51"/>
  <c r="B503" i="51"/>
  <c r="B504" i="51"/>
  <c r="B505" i="51"/>
  <c r="B506" i="51"/>
  <c r="B508" i="51"/>
  <c r="B509" i="51"/>
  <c r="B510" i="51"/>
  <c r="B512" i="51"/>
  <c r="B513" i="51"/>
  <c r="B515" i="51"/>
  <c r="B516" i="51"/>
  <c r="B517" i="51"/>
  <c r="B519" i="51"/>
  <c r="B520" i="51"/>
  <c r="B521" i="51"/>
  <c r="B523" i="51"/>
  <c r="B524" i="51"/>
  <c r="B526" i="51"/>
  <c r="B527" i="51"/>
  <c r="B529" i="51"/>
  <c r="B530" i="51"/>
  <c r="B532" i="51"/>
  <c r="B533" i="51"/>
  <c r="B534" i="51"/>
  <c r="B536" i="51"/>
  <c r="B537" i="51"/>
  <c r="B539" i="51"/>
  <c r="B540" i="51"/>
  <c r="B541" i="51"/>
  <c r="B543" i="51"/>
  <c r="B544" i="51"/>
  <c r="B545" i="51"/>
  <c r="B546" i="51"/>
  <c r="B548" i="51"/>
  <c r="B549" i="51"/>
  <c r="B550" i="51"/>
  <c r="B551" i="51"/>
  <c r="B553" i="51"/>
  <c r="B554" i="51"/>
  <c r="B555" i="51"/>
  <c r="B556" i="51"/>
  <c r="B558" i="51"/>
  <c r="B559" i="51"/>
  <c r="B560" i="51"/>
  <c r="B562" i="51"/>
  <c r="B563" i="51"/>
  <c r="B565" i="51"/>
  <c r="B566" i="51"/>
  <c r="B567" i="51"/>
  <c r="B568" i="51"/>
  <c r="B570" i="51"/>
  <c r="B571" i="51"/>
  <c r="B572" i="51"/>
  <c r="B573" i="51"/>
  <c r="B575" i="51"/>
  <c r="B576" i="51"/>
  <c r="B577" i="51"/>
  <c r="B578" i="51"/>
  <c r="B579" i="51"/>
  <c r="B581" i="51"/>
  <c r="B582" i="51"/>
  <c r="B583" i="51"/>
  <c r="B585" i="51"/>
  <c r="B586" i="51"/>
  <c r="B587" i="51"/>
  <c r="B589" i="51"/>
  <c r="B590" i="51"/>
  <c r="B591" i="51"/>
  <c r="B593" i="51"/>
  <c r="B594" i="51"/>
  <c r="B595" i="51"/>
  <c r="B597" i="51"/>
  <c r="B598" i="51"/>
  <c r="B599" i="51"/>
  <c r="B601" i="51"/>
  <c r="B602" i="51"/>
  <c r="B603" i="51"/>
  <c r="B604" i="51"/>
  <c r="B606" i="51"/>
  <c r="B607" i="51"/>
  <c r="B608" i="51"/>
  <c r="B610" i="51"/>
  <c r="B611" i="51"/>
  <c r="B613" i="51"/>
  <c r="B614" i="51"/>
  <c r="B616" i="51"/>
  <c r="B617" i="51"/>
  <c r="B619" i="51"/>
  <c r="B620" i="51"/>
  <c r="B621" i="51"/>
  <c r="B623" i="51"/>
  <c r="B624" i="51"/>
  <c r="B625" i="51"/>
  <c r="B626" i="51"/>
  <c r="B627" i="51"/>
  <c r="B629" i="51"/>
  <c r="B630" i="51"/>
  <c r="B631" i="51"/>
  <c r="B632" i="51"/>
  <c r="B633" i="51"/>
  <c r="B635" i="51"/>
  <c r="B636" i="51"/>
  <c r="B637" i="51"/>
  <c r="B638" i="51"/>
  <c r="B640" i="51"/>
  <c r="B641" i="51"/>
  <c r="B642" i="51"/>
  <c r="B643" i="51"/>
  <c r="B645" i="51"/>
  <c r="B646" i="51"/>
  <c r="B647" i="51"/>
  <c r="B649" i="51"/>
  <c r="B650" i="51"/>
  <c r="B651" i="51"/>
  <c r="B653" i="51"/>
  <c r="B654" i="51"/>
  <c r="B655" i="51"/>
  <c r="B394" i="51"/>
  <c r="B391" i="51"/>
  <c r="B390" i="51"/>
  <c r="B389" i="51"/>
  <c r="B388" i="51"/>
  <c r="B387" i="51"/>
  <c r="B386" i="51"/>
  <c r="B385" i="51"/>
  <c r="B384" i="51"/>
  <c r="B383" i="51"/>
  <c r="B382" i="51"/>
  <c r="B381" i="51"/>
  <c r="B380" i="51"/>
  <c r="B379" i="51"/>
  <c r="B378" i="51"/>
  <c r="B377" i="51"/>
  <c r="B376" i="51"/>
  <c r="B375" i="51"/>
  <c r="B374" i="51"/>
  <c r="B373" i="51"/>
  <c r="B372" i="51"/>
  <c r="B371" i="51"/>
  <c r="B370" i="51"/>
  <c r="B369" i="51"/>
  <c r="B368" i="51"/>
  <c r="B367" i="51"/>
  <c r="B366" i="51"/>
  <c r="B365" i="51"/>
  <c r="B364" i="51"/>
  <c r="B363" i="51"/>
  <c r="B362" i="51"/>
  <c r="B361" i="51"/>
  <c r="B360" i="51"/>
  <c r="B359" i="51"/>
  <c r="B358" i="51"/>
  <c r="B357" i="51"/>
  <c r="B356" i="51"/>
  <c r="B355" i="51"/>
  <c r="B354" i="51"/>
  <c r="B353" i="51"/>
  <c r="B352" i="51"/>
  <c r="B351" i="51"/>
  <c r="B350" i="51"/>
  <c r="B349" i="51"/>
  <c r="B348" i="51"/>
  <c r="B347" i="51"/>
  <c r="B346" i="51"/>
  <c r="B345" i="51"/>
  <c r="B344" i="51"/>
  <c r="B343" i="51"/>
  <c r="B342" i="51"/>
  <c r="B341" i="51"/>
  <c r="B340" i="51"/>
  <c r="B339" i="51"/>
  <c r="B338" i="51"/>
  <c r="B337" i="51"/>
  <c r="B336" i="51"/>
  <c r="B335" i="51"/>
  <c r="B334" i="51"/>
  <c r="B333" i="51"/>
  <c r="B332" i="51"/>
  <c r="B331" i="51"/>
  <c r="B330" i="51"/>
  <c r="B329" i="51"/>
  <c r="B328" i="51"/>
  <c r="B327" i="51"/>
  <c r="B326" i="51"/>
  <c r="B325" i="51"/>
  <c r="B324" i="51"/>
  <c r="B323" i="51"/>
  <c r="B322" i="51"/>
  <c r="B321" i="51"/>
  <c r="B320" i="51"/>
  <c r="B319" i="51"/>
  <c r="B318" i="51"/>
  <c r="B317" i="51"/>
  <c r="B316" i="51"/>
  <c r="M20" i="53" l="1"/>
  <c r="C5" i="52"/>
  <c r="C6" i="52" s="1"/>
  <c r="C7" i="52" s="1"/>
  <c r="C8" i="52" s="1"/>
  <c r="C9" i="52" s="1"/>
  <c r="C10" i="52" s="1"/>
  <c r="C11" i="52" s="1"/>
  <c r="C12" i="52" s="1"/>
  <c r="C13" i="52" s="1"/>
  <c r="C14" i="52" s="1"/>
  <c r="C15" i="52" s="1"/>
  <c r="C16" i="52" s="1"/>
  <c r="C17" i="52" s="1"/>
  <c r="C18" i="52" s="1"/>
  <c r="C19" i="52" s="1"/>
  <c r="C20" i="52" s="1"/>
  <c r="C21" i="52" s="1"/>
  <c r="C22" i="52" s="1"/>
  <c r="C23" i="52" s="1"/>
  <c r="C24" i="52" s="1"/>
  <c r="C25" i="52" s="1"/>
  <c r="C26" i="52" s="1"/>
  <c r="C27" i="52" s="1"/>
  <c r="C28" i="52" s="1"/>
  <c r="C29" i="52" s="1"/>
  <c r="C30" i="52" s="1"/>
  <c r="C31" i="52" s="1"/>
  <c r="C32" i="52" s="1"/>
  <c r="C33" i="52" s="1"/>
  <c r="C34" i="52" s="1"/>
  <c r="C35" i="52" s="1"/>
  <c r="C36" i="52" s="1"/>
  <c r="C37" i="52" s="1"/>
  <c r="C38" i="52" s="1"/>
  <c r="C39" i="52" s="1"/>
  <c r="C40" i="52" s="1"/>
  <c r="C41" i="52" s="1"/>
  <c r="C42" i="52" s="1"/>
  <c r="C43" i="52" s="1"/>
  <c r="C44" i="52" s="1"/>
  <c r="C45" i="52" s="1"/>
  <c r="C46" i="52" s="1"/>
  <c r="C47" i="52" s="1"/>
  <c r="C48" i="52" s="1"/>
  <c r="C49" i="52" s="1"/>
  <c r="C50" i="52" s="1"/>
  <c r="C51" i="52" s="1"/>
  <c r="C52" i="52" s="1"/>
  <c r="C53" i="52" s="1"/>
  <c r="C54" i="52" s="1"/>
  <c r="C55" i="52" s="1"/>
  <c r="C56" i="52" s="1"/>
  <c r="C57" i="52" s="1"/>
  <c r="C58" i="52" s="1"/>
  <c r="C59" i="52" s="1"/>
  <c r="C60" i="52" s="1"/>
  <c r="C61" i="52" s="1"/>
  <c r="C62" i="52" s="1"/>
  <c r="C63" i="52" s="1"/>
  <c r="C64" i="52" s="1"/>
  <c r="C65" i="52" s="1"/>
  <c r="C66" i="52" s="1"/>
  <c r="C67" i="52" s="1"/>
  <c r="C68" i="52" s="1"/>
  <c r="C69" i="52" s="1"/>
  <c r="C70" i="52" s="1"/>
  <c r="C71" i="52" s="1"/>
  <c r="C72" i="52" s="1"/>
  <c r="C73" i="52" s="1"/>
  <c r="C74" i="52" s="1"/>
  <c r="C75" i="52" s="1"/>
  <c r="C76" i="52" s="1"/>
  <c r="C77" i="52" s="1"/>
  <c r="C78" i="52" s="1"/>
  <c r="C79" i="52" s="1"/>
  <c r="C80" i="52" s="1"/>
  <c r="C81" i="52" s="1"/>
  <c r="C82" i="52" s="1"/>
  <c r="C83" i="52" s="1"/>
  <c r="C84" i="52" s="1"/>
  <c r="C85" i="52" s="1"/>
  <c r="C86" i="52" s="1"/>
  <c r="C87" i="52" s="1"/>
  <c r="C88" i="52" s="1"/>
  <c r="C89" i="52" s="1"/>
  <c r="C90" i="52" s="1"/>
  <c r="C91" i="52" s="1"/>
  <c r="C92" i="52" s="1"/>
  <c r="C93" i="52" s="1"/>
  <c r="C94" i="52" s="1"/>
  <c r="C95" i="52" s="1"/>
  <c r="C96" i="52" s="1"/>
  <c r="C97" i="52" s="1"/>
  <c r="C98" i="52" s="1"/>
  <c r="C99" i="52" s="1"/>
  <c r="C100" i="52" s="1"/>
  <c r="C101" i="52" s="1"/>
  <c r="C102" i="52" s="1"/>
  <c r="C103" i="52" s="1"/>
  <c r="C104" i="52" s="1"/>
  <c r="C105" i="52" s="1"/>
  <c r="C106" i="52" s="1"/>
  <c r="C107" i="52" s="1"/>
  <c r="C108" i="52" s="1"/>
  <c r="C109" i="52" s="1"/>
  <c r="C110" i="52" s="1"/>
  <c r="C111" i="52" s="1"/>
  <c r="C112" i="52" s="1"/>
  <c r="C113" i="52" s="1"/>
  <c r="C114" i="52" s="1"/>
  <c r="C115" i="52" s="1"/>
  <c r="C116" i="52" s="1"/>
  <c r="C117" i="52" s="1"/>
  <c r="C118" i="52" s="1"/>
  <c r="C119" i="52" s="1"/>
  <c r="C120" i="52" s="1"/>
  <c r="C121" i="52" s="1"/>
  <c r="C122" i="52" s="1"/>
  <c r="C123" i="52" s="1"/>
  <c r="C124" i="52" s="1"/>
  <c r="C125" i="52" s="1"/>
  <c r="C126" i="52" s="1"/>
  <c r="C127" i="52" s="1"/>
  <c r="C128" i="52" s="1"/>
  <c r="C129" i="52" s="1"/>
  <c r="C130" i="52" s="1"/>
  <c r="C131" i="52" s="1"/>
  <c r="C132" i="52" s="1"/>
  <c r="C133" i="52" s="1"/>
  <c r="C134" i="52" s="1"/>
  <c r="C135" i="52" s="1"/>
  <c r="C136" i="52" s="1"/>
  <c r="C137" i="52" s="1"/>
  <c r="C138" i="52" s="1"/>
  <c r="C139" i="52" s="1"/>
  <c r="C140" i="52" s="1"/>
  <c r="C141" i="52" s="1"/>
  <c r="C142" i="52" s="1"/>
  <c r="C143" i="52" s="1"/>
  <c r="C144" i="52" s="1"/>
  <c r="C145" i="52" s="1"/>
  <c r="C146" i="52" s="1"/>
  <c r="C147" i="52" s="1"/>
  <c r="C148" i="52" s="1"/>
  <c r="C149" i="52" s="1"/>
  <c r="C150" i="52" s="1"/>
  <c r="C151" i="52" s="1"/>
  <c r="C152" i="52" s="1"/>
  <c r="C153" i="52" s="1"/>
  <c r="C154" i="52" l="1"/>
  <c r="G5" i="20"/>
  <c r="C155" i="52" l="1"/>
  <c r="A154" i="52"/>
  <c r="A102" i="52"/>
  <c r="G23" i="28"/>
  <c r="G33" i="20" a="1"/>
  <c r="G33" i="20" s="1"/>
  <c r="G31" i="20"/>
  <c r="G32" i="20" s="1"/>
  <c r="G6" i="20" a="1"/>
  <c r="G6" i="20" s="1"/>
  <c r="C156" i="52" l="1"/>
  <c r="A155" i="52"/>
  <c r="A103" i="52"/>
  <c r="G4" i="20"/>
  <c r="G22" i="4"/>
  <c r="G21" i="4"/>
  <c r="G20" i="4"/>
  <c r="G19" i="4"/>
  <c r="E34" i="28"/>
  <c r="G26" i="28"/>
  <c r="G27" i="28"/>
  <c r="G25" i="28"/>
  <c r="G22" i="28"/>
  <c r="G21" i="28"/>
  <c r="G20" i="28"/>
  <c r="G19" i="28"/>
  <c r="G23" i="26"/>
  <c r="G18" i="28"/>
  <c r="G17" i="28"/>
  <c r="G16" i="28"/>
  <c r="G15" i="28"/>
  <c r="G14" i="28"/>
  <c r="G13" i="28"/>
  <c r="G12" i="28"/>
  <c r="G11" i="28"/>
  <c r="G10" i="28"/>
  <c r="G9" i="28"/>
  <c r="G8" i="28"/>
  <c r="G7" i="28"/>
  <c r="G6" i="28"/>
  <c r="G5" i="28"/>
  <c r="F32" i="27"/>
  <c r="G29" i="27"/>
  <c r="G28" i="27"/>
  <c r="G27" i="27"/>
  <c r="G26" i="27"/>
  <c r="G24" i="27"/>
  <c r="G23" i="27"/>
  <c r="G22" i="27"/>
  <c r="G20" i="27"/>
  <c r="G19" i="27"/>
  <c r="G18" i="27"/>
  <c r="G17" i="27"/>
  <c r="G15" i="27"/>
  <c r="G14" i="27"/>
  <c r="G13" i="27"/>
  <c r="G12" i="27"/>
  <c r="G11" i="27"/>
  <c r="G9" i="27"/>
  <c r="G8" i="27"/>
  <c r="G7" i="27"/>
  <c r="G6" i="27"/>
  <c r="G32" i="27" s="1"/>
  <c r="G5" i="27"/>
  <c r="G15" i="24"/>
  <c r="E33" i="26"/>
  <c r="E32" i="26"/>
  <c r="F28" i="26"/>
  <c r="I32" i="26" s="1"/>
  <c r="E51" i="25"/>
  <c r="F47" i="25"/>
  <c r="F27" i="24"/>
  <c r="G9" i="4"/>
  <c r="E16" i="30"/>
  <c r="E17" i="30" s="1"/>
  <c r="F35" i="20"/>
  <c r="E40" i="20"/>
  <c r="F33" i="4"/>
  <c r="F13" i="3"/>
  <c r="E26" i="3"/>
  <c r="G27" i="26"/>
  <c r="G26" i="26"/>
  <c r="G25" i="26"/>
  <c r="G24" i="26"/>
  <c r="G22" i="26"/>
  <c r="G21" i="26"/>
  <c r="G19" i="26"/>
  <c r="G18" i="26"/>
  <c r="G7" i="26"/>
  <c r="G17" i="26"/>
  <c r="G16" i="26"/>
  <c r="G15" i="26"/>
  <c r="G19" i="23"/>
  <c r="G12" i="26"/>
  <c r="G13" i="26"/>
  <c r="G11" i="26"/>
  <c r="G10" i="26"/>
  <c r="G21" i="25"/>
  <c r="G9" i="26"/>
  <c r="G8" i="26"/>
  <c r="G6" i="26"/>
  <c r="G41" i="25"/>
  <c r="G38" i="25"/>
  <c r="G46" i="25"/>
  <c r="G45" i="25"/>
  <c r="G44" i="25"/>
  <c r="G42" i="25"/>
  <c r="G39" i="25"/>
  <c r="G37" i="25"/>
  <c r="G35" i="25"/>
  <c r="G36" i="25"/>
  <c r="G33" i="25"/>
  <c r="G32" i="25"/>
  <c r="G29" i="25"/>
  <c r="G27" i="25"/>
  <c r="G30" i="25"/>
  <c r="G28" i="25"/>
  <c r="G24" i="25"/>
  <c r="G18" i="24"/>
  <c r="G20" i="25"/>
  <c r="G19" i="25"/>
  <c r="G18" i="25"/>
  <c r="G17" i="25"/>
  <c r="G16" i="25"/>
  <c r="G15" i="25"/>
  <c r="G13" i="25"/>
  <c r="G12" i="25"/>
  <c r="G11" i="25"/>
  <c r="G10" i="25"/>
  <c r="G9" i="25"/>
  <c r="G7" i="25"/>
  <c r="G6" i="25"/>
  <c r="G5" i="25"/>
  <c r="G26" i="24"/>
  <c r="G25" i="24"/>
  <c r="G23" i="24"/>
  <c r="G21" i="24"/>
  <c r="G22" i="24"/>
  <c r="G20" i="24"/>
  <c r="G14" i="24"/>
  <c r="G17" i="24"/>
  <c r="G9" i="23"/>
  <c r="G13" i="24"/>
  <c r="G16" i="23"/>
  <c r="G12" i="24"/>
  <c r="G11" i="24"/>
  <c r="G10" i="24"/>
  <c r="G9" i="24"/>
  <c r="G6" i="24"/>
  <c r="G7" i="24"/>
  <c r="G5" i="24"/>
  <c r="G10" i="23"/>
  <c r="C157" i="52" l="1"/>
  <c r="A156" i="52"/>
  <c r="G28" i="26"/>
  <c r="I31" i="26" s="1"/>
  <c r="G27" i="24"/>
  <c r="G21" i="23"/>
  <c r="G17" i="23"/>
  <c r="G20" i="23"/>
  <c r="G7" i="21"/>
  <c r="G18" i="23"/>
  <c r="G9" i="21"/>
  <c r="G14" i="23"/>
  <c r="G13" i="23"/>
  <c r="G12" i="23"/>
  <c r="G11" i="23"/>
  <c r="G8" i="23"/>
  <c r="G7" i="23"/>
  <c r="G5" i="23"/>
  <c r="G4" i="23"/>
  <c r="G4" i="21"/>
  <c r="G28" i="21" s="1"/>
  <c r="G10" i="21"/>
  <c r="G4" i="30"/>
  <c r="G8" i="21"/>
  <c r="G5" i="30"/>
  <c r="C158" i="52" l="1"/>
  <c r="A157" i="52"/>
  <c r="G30" i="21"/>
  <c r="G23" i="21"/>
  <c r="G24" i="21"/>
  <c r="G29" i="21"/>
  <c r="G12" i="21"/>
  <c r="G27" i="21"/>
  <c r="G11" i="21"/>
  <c r="G26" i="21"/>
  <c r="G16" i="21"/>
  <c r="G21" i="21"/>
  <c r="G17" i="21"/>
  <c r="G13" i="21"/>
  <c r="G19" i="21"/>
  <c r="G15" i="21"/>
  <c r="G20" i="21"/>
  <c r="C159" i="52" l="1"/>
  <c r="A158" i="52"/>
  <c r="G31" i="21"/>
  <c r="G11" i="30"/>
  <c r="G10" i="30"/>
  <c r="G9" i="30"/>
  <c r="G34" i="20"/>
  <c r="G27" i="20"/>
  <c r="G30" i="20"/>
  <c r="G29" i="20"/>
  <c r="G28" i="20"/>
  <c r="G26" i="20"/>
  <c r="G20" i="20"/>
  <c r="G19" i="20"/>
  <c r="G24" i="20"/>
  <c r="G23" i="20"/>
  <c r="G22" i="20"/>
  <c r="G17" i="20"/>
  <c r="G16" i="20"/>
  <c r="G15" i="20"/>
  <c r="G13" i="20"/>
  <c r="G12" i="20"/>
  <c r="G11" i="20"/>
  <c r="G9" i="20"/>
  <c r="G11" i="4"/>
  <c r="G32" i="4"/>
  <c r="G30" i="4"/>
  <c r="G24" i="4"/>
  <c r="G29" i="4"/>
  <c r="G28" i="4"/>
  <c r="G27" i="4"/>
  <c r="G26" i="4"/>
  <c r="G25" i="4"/>
  <c r="G17" i="4"/>
  <c r="G16" i="4"/>
  <c r="G14" i="4"/>
  <c r="G13" i="4"/>
  <c r="G12" i="4"/>
  <c r="G5" i="4"/>
  <c r="G8" i="4"/>
  <c r="G7" i="4"/>
  <c r="G6" i="4"/>
  <c r="G4" i="3"/>
  <c r="G24" i="28"/>
  <c r="G28" i="28" s="1"/>
  <c r="C160" i="52" l="1"/>
  <c r="A159" i="52"/>
  <c r="G35" i="20"/>
  <c r="C161" i="52" l="1"/>
  <c r="A160" i="52"/>
  <c r="E11" i="3"/>
  <c r="E12" i="3" s="1"/>
  <c r="C4" i="4"/>
  <c r="E17" i="52"/>
  <c r="E18" i="52" s="1"/>
  <c r="A4" i="52"/>
  <c r="F3" i="52"/>
  <c r="F1" i="52"/>
  <c r="A4" i="31"/>
  <c r="C1" i="32"/>
  <c r="C5" i="33"/>
  <c r="A5" i="33" s="1"/>
  <c r="I36" i="4"/>
  <c r="G8" i="19" s="1"/>
  <c r="A28" i="34"/>
  <c r="I39" i="20"/>
  <c r="G9" i="19" s="1"/>
  <c r="F12" i="30"/>
  <c r="I15" i="30" s="1"/>
  <c r="G10" i="19" s="1"/>
  <c r="F31" i="21"/>
  <c r="I34" i="21" s="1"/>
  <c r="F22" i="23"/>
  <c r="I26" i="23" s="1"/>
  <c r="G12" i="19" s="1"/>
  <c r="I30" i="24"/>
  <c r="I50" i="25"/>
  <c r="G15" i="19"/>
  <c r="G5" i="3"/>
  <c r="G6" i="3"/>
  <c r="G7" i="3"/>
  <c r="G8" i="3"/>
  <c r="G9" i="3"/>
  <c r="G10" i="3"/>
  <c r="I25" i="3"/>
  <c r="G7" i="19" s="1"/>
  <c r="E3" i="32"/>
  <c r="E4" i="32"/>
  <c r="E5" i="32"/>
  <c r="E6" i="32"/>
  <c r="E7" i="32"/>
  <c r="E8" i="32"/>
  <c r="C5" i="31"/>
  <c r="C6" i="31" s="1"/>
  <c r="A72" i="34"/>
  <c r="A70" i="34"/>
  <c r="A36" i="34"/>
  <c r="A19" i="34"/>
  <c r="A4" i="34"/>
  <c r="A5" i="34"/>
  <c r="A6" i="34"/>
  <c r="A7" i="34"/>
  <c r="A8" i="34"/>
  <c r="A9" i="34"/>
  <c r="A10" i="34"/>
  <c r="A11" i="34"/>
  <c r="A12" i="34"/>
  <c r="A13" i="34"/>
  <c r="A14" i="34"/>
  <c r="A15" i="34"/>
  <c r="A16" i="34"/>
  <c r="A17" i="34"/>
  <c r="A18" i="34"/>
  <c r="A20" i="34"/>
  <c r="A21" i="34"/>
  <c r="A22" i="34"/>
  <c r="A23" i="34"/>
  <c r="A24" i="34"/>
  <c r="A25" i="34"/>
  <c r="A26" i="34"/>
  <c r="A27" i="34"/>
  <c r="A29" i="34"/>
  <c r="A30" i="34"/>
  <c r="A31" i="34"/>
  <c r="A32" i="34"/>
  <c r="A33" i="34"/>
  <c r="A34" i="34"/>
  <c r="A35" i="34"/>
  <c r="A37" i="34"/>
  <c r="A38" i="34"/>
  <c r="A39" i="34"/>
  <c r="A40" i="34"/>
  <c r="A41" i="34"/>
  <c r="A42" i="34"/>
  <c r="A43" i="34"/>
  <c r="A44" i="34"/>
  <c r="A45" i="34"/>
  <c r="A46" i="34"/>
  <c r="A47" i="34"/>
  <c r="A48" i="34"/>
  <c r="A49" i="34"/>
  <c r="A50" i="34"/>
  <c r="A51" i="34"/>
  <c r="A52" i="34"/>
  <c r="A53" i="34"/>
  <c r="A54" i="34"/>
  <c r="A55" i="34"/>
  <c r="A56" i="34"/>
  <c r="A57" i="34"/>
  <c r="A58" i="34"/>
  <c r="A59" i="34"/>
  <c r="A60" i="34"/>
  <c r="A61" i="34"/>
  <c r="A62" i="34"/>
  <c r="A63" i="34"/>
  <c r="A64" i="34"/>
  <c r="A65" i="34"/>
  <c r="A66" i="34"/>
  <c r="A67" i="34"/>
  <c r="A68" i="34"/>
  <c r="A69" i="34"/>
  <c r="A71" i="34"/>
  <c r="A73" i="34"/>
  <c r="A74" i="34"/>
  <c r="A75" i="34"/>
  <c r="A76" i="34"/>
  <c r="A77" i="34"/>
  <c r="A78" i="34"/>
  <c r="A79" i="34"/>
  <c r="C579" i="48"/>
  <c r="C514" i="48"/>
  <c r="A4" i="33"/>
  <c r="B273" i="48"/>
  <c r="B272" i="48"/>
  <c r="B271" i="48"/>
  <c r="B270" i="48"/>
  <c r="B269" i="48"/>
  <c r="B268" i="48"/>
  <c r="B267" i="48"/>
  <c r="B266" i="48"/>
  <c r="B265" i="48"/>
  <c r="B264" i="48"/>
  <c r="B263" i="48"/>
  <c r="B262" i="48"/>
  <c r="B261" i="48"/>
  <c r="B260" i="48"/>
  <c r="B259" i="48"/>
  <c r="B258" i="48"/>
  <c r="B257" i="48"/>
  <c r="B256" i="48"/>
  <c r="B255" i="48"/>
  <c r="B254" i="48"/>
  <c r="B253" i="48"/>
  <c r="B252" i="48"/>
  <c r="B251" i="48"/>
  <c r="B250" i="48"/>
  <c r="B249" i="48"/>
  <c r="B248" i="48"/>
  <c r="B247" i="48"/>
  <c r="B246" i="48"/>
  <c r="B245" i="48"/>
  <c r="B244" i="48"/>
  <c r="B243" i="48"/>
  <c r="B242" i="48"/>
  <c r="B241" i="48"/>
  <c r="B240" i="48"/>
  <c r="B239" i="48"/>
  <c r="B238" i="48"/>
  <c r="B237" i="48"/>
  <c r="B236" i="48"/>
  <c r="B235" i="48"/>
  <c r="B234" i="48"/>
  <c r="B233" i="48"/>
  <c r="B232" i="48"/>
  <c r="B231" i="48"/>
  <c r="B230" i="48"/>
  <c r="B229" i="48"/>
  <c r="B228" i="48"/>
  <c r="B227" i="48"/>
  <c r="B226" i="48"/>
  <c r="B225" i="48"/>
  <c r="B224" i="48"/>
  <c r="B223" i="48"/>
  <c r="B222" i="48"/>
  <c r="B221" i="48"/>
  <c r="B220" i="48"/>
  <c r="B219" i="48"/>
  <c r="B218" i="48"/>
  <c r="B217" i="48"/>
  <c r="B216" i="48"/>
  <c r="B215" i="48"/>
  <c r="B214" i="48"/>
  <c r="B213" i="48"/>
  <c r="B212" i="48"/>
  <c r="B211" i="48"/>
  <c r="B210" i="48"/>
  <c r="B209" i="48"/>
  <c r="B208" i="48"/>
  <c r="B207" i="48"/>
  <c r="B206" i="48"/>
  <c r="B205" i="48"/>
  <c r="B204" i="48"/>
  <c r="B203" i="48"/>
  <c r="B202" i="48"/>
  <c r="B201" i="48"/>
  <c r="B200" i="48"/>
  <c r="B199" i="48"/>
  <c r="B198" i="48"/>
  <c r="B197" i="48"/>
  <c r="B196" i="48"/>
  <c r="B195" i="48"/>
  <c r="B194" i="48"/>
  <c r="B193" i="48"/>
  <c r="B192" i="48"/>
  <c r="B191" i="48"/>
  <c r="B190" i="48"/>
  <c r="B189" i="48"/>
  <c r="B188" i="48"/>
  <c r="B187" i="48"/>
  <c r="B186" i="48"/>
  <c r="B185" i="48"/>
  <c r="B184" i="48"/>
  <c r="B183" i="48"/>
  <c r="B182" i="48"/>
  <c r="B181" i="48"/>
  <c r="B180" i="48"/>
  <c r="B179" i="48"/>
  <c r="B178" i="48"/>
  <c r="B177" i="48"/>
  <c r="B176" i="48"/>
  <c r="B175" i="48"/>
  <c r="B174" i="48"/>
  <c r="B173" i="48"/>
  <c r="B172" i="48"/>
  <c r="B171" i="48"/>
  <c r="B170" i="48"/>
  <c r="B169" i="48"/>
  <c r="B168" i="48"/>
  <c r="B167" i="48"/>
  <c r="B166" i="48"/>
  <c r="B165" i="48"/>
  <c r="B164" i="48"/>
  <c r="B163" i="48"/>
  <c r="B162" i="48"/>
  <c r="B161" i="48"/>
  <c r="B160" i="48"/>
  <c r="B159" i="48"/>
  <c r="B158" i="48"/>
  <c r="B157" i="48"/>
  <c r="B156" i="48"/>
  <c r="B155" i="48"/>
  <c r="B154" i="48"/>
  <c r="B153" i="48"/>
  <c r="B152" i="48"/>
  <c r="B151" i="48"/>
  <c r="B150" i="48"/>
  <c r="B149" i="48"/>
  <c r="B148" i="48"/>
  <c r="B147" i="48"/>
  <c r="B146" i="48"/>
  <c r="B145" i="48"/>
  <c r="B144" i="48"/>
  <c r="B143" i="48"/>
  <c r="B142" i="48"/>
  <c r="B141" i="48"/>
  <c r="B140" i="48"/>
  <c r="B139" i="48"/>
  <c r="B138" i="48"/>
  <c r="B137" i="48"/>
  <c r="B136" i="48"/>
  <c r="B135" i="48"/>
  <c r="B134" i="48"/>
  <c r="B133" i="48"/>
  <c r="B132" i="48"/>
  <c r="B131" i="48"/>
  <c r="B130" i="48"/>
  <c r="B129" i="48"/>
  <c r="B128" i="48"/>
  <c r="B127" i="48"/>
  <c r="B126" i="48"/>
  <c r="B125" i="48"/>
  <c r="B124" i="48"/>
  <c r="B123" i="48"/>
  <c r="B122" i="48"/>
  <c r="B121" i="48"/>
  <c r="B120" i="48"/>
  <c r="B119" i="48"/>
  <c r="B118" i="48"/>
  <c r="B117" i="48"/>
  <c r="B116" i="48"/>
  <c r="B115" i="48"/>
  <c r="B114" i="48"/>
  <c r="B113" i="48"/>
  <c r="B112" i="48"/>
  <c r="B111" i="48"/>
  <c r="B110" i="48"/>
  <c r="B109" i="48"/>
  <c r="B108" i="48"/>
  <c r="B107" i="48"/>
  <c r="B106" i="48"/>
  <c r="B105" i="48"/>
  <c r="B104" i="48"/>
  <c r="B103" i="48"/>
  <c r="B102" i="48"/>
  <c r="B100" i="48"/>
  <c r="B99" i="48"/>
  <c r="B98" i="48"/>
  <c r="B97" i="48"/>
  <c r="B96" i="48"/>
  <c r="B95" i="48"/>
  <c r="B94" i="48"/>
  <c r="B93" i="48"/>
  <c r="B92" i="48"/>
  <c r="B91" i="48"/>
  <c r="B90" i="48"/>
  <c r="B89" i="48"/>
  <c r="B88" i="48"/>
  <c r="B87" i="48"/>
  <c r="B86" i="48"/>
  <c r="B85" i="48"/>
  <c r="B84" i="48"/>
  <c r="B83" i="48"/>
  <c r="B82" i="48"/>
  <c r="B81" i="48"/>
  <c r="B80" i="48"/>
  <c r="B79" i="48"/>
  <c r="B78" i="48"/>
  <c r="B77" i="48"/>
  <c r="B76" i="48"/>
  <c r="B75" i="48"/>
  <c r="B74" i="48"/>
  <c r="B73" i="48"/>
  <c r="B72" i="48"/>
  <c r="B71" i="48"/>
  <c r="B70" i="48"/>
  <c r="B69" i="48"/>
  <c r="B68" i="48"/>
  <c r="B67" i="48"/>
  <c r="B66" i="48"/>
  <c r="B65" i="48"/>
  <c r="B64" i="48"/>
  <c r="B63" i="48"/>
  <c r="B62" i="48"/>
  <c r="B61" i="48"/>
  <c r="B60" i="48"/>
  <c r="B59" i="48"/>
  <c r="B58" i="48"/>
  <c r="B57" i="48"/>
  <c r="B56" i="48"/>
  <c r="B55" i="48"/>
  <c r="B54" i="48"/>
  <c r="B53" i="48"/>
  <c r="B52" i="48"/>
  <c r="B51" i="48"/>
  <c r="B50" i="48"/>
  <c r="B49" i="48"/>
  <c r="B48" i="48"/>
  <c r="B47" i="48"/>
  <c r="B46" i="48"/>
  <c r="B45" i="48"/>
  <c r="B44" i="48"/>
  <c r="B43" i="48"/>
  <c r="B42" i="48"/>
  <c r="B41" i="48"/>
  <c r="B40" i="48"/>
  <c r="B39" i="48"/>
  <c r="B38" i="48"/>
  <c r="B37" i="48"/>
  <c r="B36" i="48"/>
  <c r="B35" i="48"/>
  <c r="B34" i="48"/>
  <c r="B33" i="48"/>
  <c r="B32" i="48"/>
  <c r="B31" i="48"/>
  <c r="B30" i="48"/>
  <c r="B29" i="48"/>
  <c r="B28" i="48"/>
  <c r="B27" i="48"/>
  <c r="B26" i="48"/>
  <c r="B25" i="48"/>
  <c r="B24" i="48"/>
  <c r="B23" i="48"/>
  <c r="B22" i="48"/>
  <c r="B21" i="48"/>
  <c r="B20" i="48"/>
  <c r="B19" i="48"/>
  <c r="B18" i="48"/>
  <c r="B17" i="48"/>
  <c r="B16" i="48"/>
  <c r="B15" i="48"/>
  <c r="B14" i="48"/>
  <c r="B13" i="48"/>
  <c r="B12" i="48"/>
  <c r="B11" i="48"/>
  <c r="B10" i="48"/>
  <c r="B9" i="48"/>
  <c r="B8" i="48"/>
  <c r="B7" i="48"/>
  <c r="B6" i="48"/>
  <c r="B5" i="48"/>
  <c r="B4" i="48"/>
  <c r="C1" i="48"/>
  <c r="E27" i="3"/>
  <c r="F7" i="19" s="1"/>
  <c r="E37" i="4"/>
  <c r="E38" i="4" s="1"/>
  <c r="F8" i="19" s="1"/>
  <c r="E41" i="20"/>
  <c r="F9" i="19" s="1"/>
  <c r="E27" i="23"/>
  <c r="E28" i="23" s="1"/>
  <c r="F12" i="19" s="1"/>
  <c r="E31" i="24"/>
  <c r="E32" i="24" s="1"/>
  <c r="F13" i="19" s="1"/>
  <c r="E34" i="26"/>
  <c r="F15" i="19" s="1"/>
  <c r="I3" i="31"/>
  <c r="I3" i="33"/>
  <c r="I3" i="34"/>
  <c r="H3" i="31"/>
  <c r="G3" i="33"/>
  <c r="F3" i="33"/>
  <c r="E3" i="33"/>
  <c r="D3" i="33"/>
  <c r="H3" i="33"/>
  <c r="H3" i="34"/>
  <c r="E36" i="27"/>
  <c r="E18" i="19" s="1"/>
  <c r="B3" i="43"/>
  <c r="A1" i="42"/>
  <c r="B3" i="42" s="1"/>
  <c r="A3" i="41"/>
  <c r="A3" i="42" s="1"/>
  <c r="A3" i="43" s="1"/>
  <c r="B3" i="41"/>
  <c r="G30" i="27"/>
  <c r="I35" i="27"/>
  <c r="F28" i="28"/>
  <c r="I33" i="28" s="1"/>
  <c r="K16" i="19"/>
  <c r="K22" i="19" s="1"/>
  <c r="K20" i="19"/>
  <c r="A11" i="19"/>
  <c r="I32" i="24" s="1"/>
  <c r="I37" i="27"/>
  <c r="D1" i="39"/>
  <c r="D1" i="33"/>
  <c r="A4" i="39"/>
  <c r="A5" i="39"/>
  <c r="G3" i="39"/>
  <c r="F3" i="39"/>
  <c r="E3" i="39"/>
  <c r="D3" i="39"/>
  <c r="G3" i="31"/>
  <c r="G3" i="34"/>
  <c r="F3" i="34"/>
  <c r="E3" i="34"/>
  <c r="D3" i="34"/>
  <c r="F3" i="31"/>
  <c r="E3" i="31"/>
  <c r="D3" i="31"/>
  <c r="I35" i="28"/>
  <c r="A10" i="19"/>
  <c r="A8" i="19"/>
  <c r="A9" i="19"/>
  <c r="A7" i="19"/>
  <c r="C1" i="19"/>
  <c r="E19" i="19"/>
  <c r="D7" i="19"/>
  <c r="D8" i="19"/>
  <c r="D9" i="19"/>
  <c r="D12" i="19"/>
  <c r="D13" i="19"/>
  <c r="D15" i="19"/>
  <c r="D18" i="19"/>
  <c r="C7" i="19"/>
  <c r="C8" i="19"/>
  <c r="C9" i="19"/>
  <c r="C11" i="19"/>
  <c r="C12" i="19"/>
  <c r="C13" i="19"/>
  <c r="C14" i="19"/>
  <c r="C15" i="19"/>
  <c r="D1" i="34"/>
  <c r="D1" i="31"/>
  <c r="C18" i="19"/>
  <c r="C19" i="19"/>
  <c r="A19" i="19"/>
  <c r="A18" i="19"/>
  <c r="B5" i="35"/>
  <c r="B6" i="35"/>
  <c r="C9" i="32" l="1"/>
  <c r="C10" i="32"/>
  <c r="C162" i="52"/>
  <c r="C163" i="52" s="1"/>
  <c r="C164" i="52" s="1"/>
  <c r="C165" i="52" s="1"/>
  <c r="C166" i="52" s="1"/>
  <c r="C167" i="52" s="1"/>
  <c r="C168" i="52" s="1"/>
  <c r="C169" i="52" s="1"/>
  <c r="C170" i="52" s="1"/>
  <c r="C171" i="52" s="1"/>
  <c r="C172" i="52" s="1"/>
  <c r="C173" i="52" s="1"/>
  <c r="C174" i="52" s="1"/>
  <c r="C175" i="52" s="1"/>
  <c r="C176" i="52" s="1"/>
  <c r="C177" i="52" s="1"/>
  <c r="C178" i="52" s="1"/>
  <c r="C179" i="52" s="1"/>
  <c r="C180" i="52" s="1"/>
  <c r="C181" i="52" s="1"/>
  <c r="C182" i="52" s="1"/>
  <c r="C183" i="52" s="1"/>
  <c r="C184" i="52" s="1"/>
  <c r="C185" i="52" s="1"/>
  <c r="C186" i="52" s="1"/>
  <c r="C187" i="52" s="1"/>
  <c r="C188" i="52" s="1"/>
  <c r="C189" i="52" s="1"/>
  <c r="C190" i="52" s="1"/>
  <c r="C191" i="52" s="1"/>
  <c r="C192" i="52" s="1"/>
  <c r="C193" i="52" s="1"/>
  <c r="C194" i="52" s="1"/>
  <c r="C195" i="52" s="1"/>
  <c r="C196" i="52" s="1"/>
  <c r="C197" i="52" s="1"/>
  <c r="C198" i="52" s="1"/>
  <c r="C199" i="52" s="1"/>
  <c r="C200" i="52" s="1"/>
  <c r="C201" i="52" s="1"/>
  <c r="C202" i="52" s="1"/>
  <c r="C203" i="52" s="1"/>
  <c r="C204" i="52" s="1"/>
  <c r="C205" i="52" s="1"/>
  <c r="C206" i="52" s="1"/>
  <c r="C207" i="52" s="1"/>
  <c r="C208" i="52" s="1"/>
  <c r="C209" i="52" s="1"/>
  <c r="C210" i="52" s="1"/>
  <c r="C211" i="52" s="1"/>
  <c r="C212" i="52" s="1"/>
  <c r="C213" i="52" s="1"/>
  <c r="C214" i="52" s="1"/>
  <c r="C215" i="52" s="1"/>
  <c r="C216" i="52" s="1"/>
  <c r="C217" i="52" s="1"/>
  <c r="C218" i="52" s="1"/>
  <c r="C219" i="52" s="1"/>
  <c r="C220" i="52" s="1"/>
  <c r="C221" i="52" s="1"/>
  <c r="C222" i="52" s="1"/>
  <c r="C223" i="52" s="1"/>
  <c r="C224" i="52" s="1"/>
  <c r="C225" i="52" s="1"/>
  <c r="C226" i="52" s="1"/>
  <c r="C227" i="52" s="1"/>
  <c r="C228" i="52" s="1"/>
  <c r="C229" i="52" s="1"/>
  <c r="C230" i="52" s="1"/>
  <c r="C231" i="52" s="1"/>
  <c r="C232" i="52" s="1"/>
  <c r="C233" i="52" s="1"/>
  <c r="C234" i="52" s="1"/>
  <c r="C235" i="52" s="1"/>
  <c r="C236" i="52" s="1"/>
  <c r="C237" i="52" s="1"/>
  <c r="C238" i="52" s="1"/>
  <c r="C239" i="52" s="1"/>
  <c r="C240" i="52" s="1"/>
  <c r="C241" i="52" s="1"/>
  <c r="C242" i="52" s="1"/>
  <c r="C243" i="52" s="1"/>
  <c r="C244" i="52" s="1"/>
  <c r="C245" i="52" s="1"/>
  <c r="C246" i="52" s="1"/>
  <c r="C247" i="52" s="1"/>
  <c r="C248" i="52" s="1"/>
  <c r="C249" i="52" s="1"/>
  <c r="C250" i="52" s="1"/>
  <c r="C251" i="52" s="1"/>
  <c r="C252" i="52" s="1"/>
  <c r="C253" i="52" s="1"/>
  <c r="C254" i="52" s="1"/>
  <c r="C255" i="52" s="1"/>
  <c r="C256" i="52" s="1"/>
  <c r="C257" i="52" s="1"/>
  <c r="C258" i="52" s="1"/>
  <c r="C259" i="52" s="1"/>
  <c r="C260" i="52" s="1"/>
  <c r="C261" i="52" s="1"/>
  <c r="C262" i="52" s="1"/>
  <c r="C263" i="52" s="1"/>
  <c r="C264" i="52" s="1"/>
  <c r="C265" i="52" s="1"/>
  <c r="C266" i="52" s="1"/>
  <c r="C267" i="52" s="1"/>
  <c r="C268" i="52" s="1"/>
  <c r="C269" i="52" s="1"/>
  <c r="C270" i="52" s="1"/>
  <c r="C271" i="52" s="1"/>
  <c r="C272" i="52" s="1"/>
  <c r="C273" i="52" s="1"/>
  <c r="C274" i="52" s="1"/>
  <c r="C275" i="52" s="1"/>
  <c r="C276" i="52" s="1"/>
  <c r="C277" i="52" s="1"/>
  <c r="C278" i="52" s="1"/>
  <c r="C279" i="52" s="1"/>
  <c r="C280" i="52" s="1"/>
  <c r="C281" i="52" s="1"/>
  <c r="C282" i="52" s="1"/>
  <c r="C283" i="52" s="1"/>
  <c r="C284" i="52" s="1"/>
  <c r="C285" i="52" s="1"/>
  <c r="C286" i="52" s="1"/>
  <c r="C287" i="52" s="1"/>
  <c r="C288" i="52" s="1"/>
  <c r="C289" i="52" s="1"/>
  <c r="C290" i="52" s="1"/>
  <c r="C291" i="52" s="1"/>
  <c r="C292" i="52" s="1"/>
  <c r="C293" i="52" s="1"/>
  <c r="C294" i="52" s="1"/>
  <c r="C295" i="52" s="1"/>
  <c r="C296" i="52" s="1"/>
  <c r="C297" i="52" s="1"/>
  <c r="C298" i="52" s="1"/>
  <c r="C299" i="52" s="1"/>
  <c r="C300" i="52" s="1"/>
  <c r="C301" i="52" s="1"/>
  <c r="C302" i="52" s="1"/>
  <c r="C303" i="52" s="1"/>
  <c r="A161" i="52"/>
  <c r="C4" i="32"/>
  <c r="C5" i="32"/>
  <c r="C7" i="32"/>
  <c r="C8" i="32"/>
  <c r="C6" i="32"/>
  <c r="C547" i="48"/>
  <c r="D1" i="32"/>
  <c r="C3" i="32"/>
  <c r="E1" i="32"/>
  <c r="C7" i="31"/>
  <c r="A6" i="31"/>
  <c r="A1" i="43"/>
  <c r="A5" i="31"/>
  <c r="I20" i="28"/>
  <c r="I4" i="28"/>
  <c r="I23" i="28"/>
  <c r="I21" i="28"/>
  <c r="I22" i="28"/>
  <c r="I26" i="28"/>
  <c r="I27" i="28"/>
  <c r="I25" i="28"/>
  <c r="I24" i="28"/>
  <c r="C523" i="48"/>
  <c r="C571" i="48"/>
  <c r="I34" i="26"/>
  <c r="I14" i="26" s="1"/>
  <c r="G11" i="19"/>
  <c r="I30" i="27"/>
  <c r="H30" i="27"/>
  <c r="H16" i="27"/>
  <c r="H29" i="27"/>
  <c r="H10" i="27"/>
  <c r="H25" i="27"/>
  <c r="H4" i="27"/>
  <c r="H21" i="27"/>
  <c r="H31" i="27"/>
  <c r="I25" i="27"/>
  <c r="I16" i="27"/>
  <c r="I10" i="27"/>
  <c r="I21" i="27"/>
  <c r="I4" i="27"/>
  <c r="H4" i="28"/>
  <c r="I23" i="24"/>
  <c r="I24" i="24"/>
  <c r="I4" i="24"/>
  <c r="I16" i="24"/>
  <c r="I8" i="24"/>
  <c r="I19" i="24"/>
  <c r="G13" i="19"/>
  <c r="H16" i="24"/>
  <c r="H8" i="24"/>
  <c r="H24" i="24"/>
  <c r="H4" i="24"/>
  <c r="H19" i="24"/>
  <c r="C6" i="33"/>
  <c r="E12" i="19"/>
  <c r="H26" i="28"/>
  <c r="H27" i="28"/>
  <c r="G19" i="19"/>
  <c r="H25" i="28"/>
  <c r="H23" i="28"/>
  <c r="H21" i="28"/>
  <c r="H24" i="28"/>
  <c r="H22" i="28"/>
  <c r="H17" i="28"/>
  <c r="H19" i="28"/>
  <c r="H16" i="28"/>
  <c r="H18" i="28"/>
  <c r="C20" i="19"/>
  <c r="H20" i="28"/>
  <c r="E37" i="27"/>
  <c r="F18" i="19" s="1"/>
  <c r="E15" i="19"/>
  <c r="G14" i="19"/>
  <c r="E13" i="19"/>
  <c r="E8" i="19"/>
  <c r="G12" i="3"/>
  <c r="E9" i="19"/>
  <c r="I28" i="23"/>
  <c r="E20" i="19"/>
  <c r="I52" i="25"/>
  <c r="I36" i="21"/>
  <c r="I22" i="21" s="1"/>
  <c r="E19" i="52"/>
  <c r="C5" i="3"/>
  <c r="C4" i="3"/>
  <c r="H11" i="24"/>
  <c r="H14" i="24"/>
  <c r="H23" i="24"/>
  <c r="H13" i="24"/>
  <c r="H15" i="24"/>
  <c r="E7" i="19"/>
  <c r="H12" i="24"/>
  <c r="G11" i="3"/>
  <c r="A5" i="52"/>
  <c r="A7" i="52"/>
  <c r="A6" i="52"/>
  <c r="C555" i="48"/>
  <c r="C531" i="48"/>
  <c r="C563" i="48"/>
  <c r="C539" i="48"/>
  <c r="I41" i="20"/>
  <c r="H32" i="20" s="1"/>
  <c r="I38" i="4"/>
  <c r="H4" i="4" s="1"/>
  <c r="I27" i="3"/>
  <c r="I17" i="30"/>
  <c r="I6" i="30" s="1"/>
  <c r="G18" i="19"/>
  <c r="C515" i="48"/>
  <c r="C582" i="48"/>
  <c r="C578" i="48"/>
  <c r="C574" i="48"/>
  <c r="C570" i="48"/>
  <c r="C566" i="48"/>
  <c r="C562" i="48"/>
  <c r="C558" i="48"/>
  <c r="C554" i="48"/>
  <c r="C550" i="48"/>
  <c r="C546" i="48"/>
  <c r="C542" i="48"/>
  <c r="C538" i="48"/>
  <c r="C534" i="48"/>
  <c r="C530" i="48"/>
  <c r="C526" i="48"/>
  <c r="C522" i="48"/>
  <c r="C518" i="48"/>
  <c r="C513" i="48"/>
  <c r="C585" i="48"/>
  <c r="C581" i="48"/>
  <c r="C577" i="48"/>
  <c r="C573" i="48"/>
  <c r="C569" i="48"/>
  <c r="C565" i="48"/>
  <c r="C561" i="48"/>
  <c r="C557" i="48"/>
  <c r="C553" i="48"/>
  <c r="C549" i="48"/>
  <c r="C545" i="48"/>
  <c r="C541" i="48"/>
  <c r="C537" i="48"/>
  <c r="C533" i="48"/>
  <c r="C529" i="48"/>
  <c r="C525" i="48"/>
  <c r="C521" i="48"/>
  <c r="C517" i="48"/>
  <c r="C512" i="48"/>
  <c r="C516" i="48"/>
  <c r="C524" i="48"/>
  <c r="C532" i="48"/>
  <c r="C540" i="48"/>
  <c r="C548" i="48"/>
  <c r="C556" i="48"/>
  <c r="C564" i="48"/>
  <c r="C572" i="48"/>
  <c r="C580" i="48"/>
  <c r="C510" i="48"/>
  <c r="C519" i="48"/>
  <c r="C527" i="48"/>
  <c r="C535" i="48"/>
  <c r="C543" i="48"/>
  <c r="C551" i="48"/>
  <c r="C559" i="48"/>
  <c r="C567" i="48"/>
  <c r="C575" i="48"/>
  <c r="C583" i="48"/>
  <c r="C511" i="48"/>
  <c r="C520" i="48"/>
  <c r="C528" i="48"/>
  <c r="C536" i="48"/>
  <c r="C544" i="48"/>
  <c r="C552" i="48"/>
  <c r="C560" i="48"/>
  <c r="C568" i="48"/>
  <c r="C576" i="48"/>
  <c r="C584" i="48"/>
  <c r="C8" i="35"/>
  <c r="H28" i="28" l="1"/>
  <c r="H9" i="26"/>
  <c r="G13" i="3"/>
  <c r="I24" i="3" s="1"/>
  <c r="H7" i="19" s="1"/>
  <c r="C8" i="31"/>
  <c r="A7" i="31"/>
  <c r="B1" i="32"/>
  <c r="H13" i="26"/>
  <c r="H10" i="26"/>
  <c r="H12" i="26"/>
  <c r="I12" i="26"/>
  <c r="H26" i="26"/>
  <c r="G16" i="19"/>
  <c r="I9" i="26"/>
  <c r="H11" i="26"/>
  <c r="I20" i="26"/>
  <c r="I13" i="26"/>
  <c r="I10" i="26"/>
  <c r="H8" i="26"/>
  <c r="H20" i="26"/>
  <c r="H14" i="26"/>
  <c r="I27" i="26"/>
  <c r="I5" i="26"/>
  <c r="I11" i="26"/>
  <c r="I8" i="26"/>
  <c r="I25" i="21"/>
  <c r="I26" i="26"/>
  <c r="H27" i="26"/>
  <c r="H5" i="26"/>
  <c r="H12" i="21"/>
  <c r="I18" i="21"/>
  <c r="I14" i="21"/>
  <c r="G20" i="19"/>
  <c r="I43" i="25"/>
  <c r="I40" i="25"/>
  <c r="I31" i="25"/>
  <c r="I14" i="25"/>
  <c r="I39" i="25"/>
  <c r="I26" i="25"/>
  <c r="I8" i="25"/>
  <c r="I38" i="25"/>
  <c r="I4" i="25"/>
  <c r="I34" i="25"/>
  <c r="I21" i="25"/>
  <c r="H8" i="25"/>
  <c r="H4" i="25"/>
  <c r="H38" i="25"/>
  <c r="H21" i="25"/>
  <c r="H23" i="25"/>
  <c r="G47" i="25" s="1"/>
  <c r="H14" i="25"/>
  <c r="H40" i="25"/>
  <c r="H31" i="25"/>
  <c r="H39" i="25"/>
  <c r="H43" i="25"/>
  <c r="H34" i="25"/>
  <c r="H46" i="25"/>
  <c r="H26" i="25"/>
  <c r="H27" i="24"/>
  <c r="H4" i="3"/>
  <c r="I12" i="3"/>
  <c r="H4" i="23"/>
  <c r="H15" i="23"/>
  <c r="H6" i="23"/>
  <c r="I34" i="20"/>
  <c r="H33" i="20"/>
  <c r="I33" i="20"/>
  <c r="I32" i="20"/>
  <c r="I31" i="20"/>
  <c r="H34" i="20"/>
  <c r="H31" i="20"/>
  <c r="H21" i="20"/>
  <c r="I21" i="20" s="1"/>
  <c r="H18" i="20"/>
  <c r="I18" i="20" s="1"/>
  <c r="H25" i="20"/>
  <c r="I25" i="20" s="1"/>
  <c r="H7" i="20"/>
  <c r="I7" i="20" s="1"/>
  <c r="H5" i="20"/>
  <c r="I6" i="20"/>
  <c r="H6" i="20"/>
  <c r="H4" i="20"/>
  <c r="C7" i="33"/>
  <c r="A6" i="33"/>
  <c r="H23" i="4"/>
  <c r="I23" i="4" s="1"/>
  <c r="H32" i="4"/>
  <c r="I32" i="4" s="1"/>
  <c r="H22" i="4"/>
  <c r="I22" i="4" s="1"/>
  <c r="H10" i="4"/>
  <c r="I10" i="4" s="1"/>
  <c r="H15" i="4"/>
  <c r="I15" i="4" s="1"/>
  <c r="H31" i="4"/>
  <c r="I31" i="4" s="1"/>
  <c r="H21" i="4"/>
  <c r="I21" i="4" s="1"/>
  <c r="H9" i="4"/>
  <c r="H18" i="4"/>
  <c r="I18" i="4" s="1"/>
  <c r="H8" i="4"/>
  <c r="I8" i="4" s="1"/>
  <c r="H30" i="4"/>
  <c r="I30" i="4" s="1"/>
  <c r="H22" i="21"/>
  <c r="H20" i="23"/>
  <c r="H5" i="23"/>
  <c r="H18" i="23"/>
  <c r="H18" i="21"/>
  <c r="H11" i="21"/>
  <c r="H7" i="21"/>
  <c r="H30" i="21"/>
  <c r="H19" i="23"/>
  <c r="H21" i="23"/>
  <c r="H4" i="21"/>
  <c r="H13" i="21"/>
  <c r="H25" i="21"/>
  <c r="H10" i="21"/>
  <c r="H8" i="21"/>
  <c r="H17" i="21"/>
  <c r="H9" i="21"/>
  <c r="H14" i="21"/>
  <c r="E20" i="52"/>
  <c r="C6" i="3"/>
  <c r="A8" i="52"/>
  <c r="H9" i="30"/>
  <c r="H10" i="30"/>
  <c r="H11" i="30"/>
  <c r="H6" i="30"/>
  <c r="H5" i="30"/>
  <c r="H4" i="30"/>
  <c r="H32" i="27"/>
  <c r="I11" i="3"/>
  <c r="H9" i="3"/>
  <c r="I4" i="3"/>
  <c r="H8" i="3"/>
  <c r="I10" i="3"/>
  <c r="H5" i="3"/>
  <c r="H6" i="3"/>
  <c r="I8" i="3"/>
  <c r="H7" i="3"/>
  <c r="I9" i="3"/>
  <c r="H11" i="3"/>
  <c r="I6" i="3"/>
  <c r="I7" i="3"/>
  <c r="I5" i="3"/>
  <c r="H10" i="3"/>
  <c r="A1" i="52" l="1"/>
  <c r="C1" i="52"/>
  <c r="A1" i="39"/>
  <c r="A1" i="31"/>
  <c r="B5" i="39" s="1"/>
  <c r="I26" i="3"/>
  <c r="A1" i="34"/>
  <c r="A1" i="33"/>
  <c r="A8" i="31"/>
  <c r="C9" i="31"/>
  <c r="H28" i="26"/>
  <c r="G22" i="19"/>
  <c r="I28" i="26"/>
  <c r="H47" i="25"/>
  <c r="C8" i="33"/>
  <c r="A7" i="33"/>
  <c r="I9" i="4"/>
  <c r="I4" i="4"/>
  <c r="H22" i="23"/>
  <c r="H31" i="21"/>
  <c r="E21" i="52"/>
  <c r="C7" i="3"/>
  <c r="A9" i="52"/>
  <c r="H33" i="4"/>
  <c r="I13" i="3"/>
  <c r="H35" i="20"/>
  <c r="I1" i="3"/>
  <c r="J1" i="3"/>
  <c r="H12" i="30"/>
  <c r="I7" i="19"/>
  <c r="C5" i="53" s="1"/>
  <c r="H13" i="3"/>
  <c r="B61" i="34" l="1"/>
  <c r="B77" i="34"/>
  <c r="B32" i="1" s="1"/>
  <c r="B76" i="34"/>
  <c r="B38" i="1" s="1"/>
  <c r="B68" i="34"/>
  <c r="B38" i="34"/>
  <c r="A1" i="19" s="1"/>
  <c r="B42" i="34"/>
  <c r="B4" i="39"/>
  <c r="B78" i="34"/>
  <c r="B30" i="1" s="1"/>
  <c r="B7" i="34"/>
  <c r="B8" i="1" s="1"/>
  <c r="B19" i="34"/>
  <c r="B23" i="34"/>
  <c r="F3" i="2" s="1"/>
  <c r="B59" i="34"/>
  <c r="B63" i="34"/>
  <c r="B603" i="34"/>
  <c r="B611" i="34"/>
  <c r="B612" i="34"/>
  <c r="B18" i="34"/>
  <c r="B71" i="34"/>
  <c r="A1" i="40" s="1"/>
  <c r="B605" i="34"/>
  <c r="B30" i="34"/>
  <c r="D31" i="26" s="1"/>
  <c r="B48" i="34"/>
  <c r="G3" i="53" s="1"/>
  <c r="O3" i="53" s="1"/>
  <c r="B34" i="34"/>
  <c r="G33" i="21" s="1"/>
  <c r="G3" i="21" s="1"/>
  <c r="B11" i="34"/>
  <c r="B15" i="1" s="1"/>
  <c r="B67" i="34"/>
  <c r="B72" i="34"/>
  <c r="A1" i="50" s="1"/>
  <c r="B609" i="34"/>
  <c r="B46" i="34"/>
  <c r="E3" i="53" s="1"/>
  <c r="M3" i="53" s="1"/>
  <c r="B27" i="34"/>
  <c r="B8" i="34"/>
  <c r="B10" i="1" s="1"/>
  <c r="B25" i="34"/>
  <c r="B54" i="34"/>
  <c r="K24" i="19" s="1"/>
  <c r="B31" i="34"/>
  <c r="D30" i="24" s="1"/>
  <c r="B12" i="34"/>
  <c r="B17" i="1" s="1"/>
  <c r="B37" i="34"/>
  <c r="G41" i="20" s="1"/>
  <c r="B13" i="34"/>
  <c r="B19" i="1" s="1"/>
  <c r="B608" i="34"/>
  <c r="B20" i="34"/>
  <c r="B75" i="34"/>
  <c r="B36" i="1" s="1"/>
  <c r="B62" i="34"/>
  <c r="F4" i="52"/>
  <c r="F169" i="52"/>
  <c r="B178" i="51" s="1"/>
  <c r="F102" i="52"/>
  <c r="B102" i="51" s="1"/>
  <c r="F197" i="52"/>
  <c r="F203" i="52"/>
  <c r="F192" i="52"/>
  <c r="F193" i="52"/>
  <c r="F209" i="52"/>
  <c r="F204" i="52"/>
  <c r="F202" i="52"/>
  <c r="F210" i="52"/>
  <c r="F205" i="52"/>
  <c r="F194" i="52"/>
  <c r="F299" i="52"/>
  <c r="F211" i="52"/>
  <c r="F198" i="52"/>
  <c r="F195" i="52"/>
  <c r="F206" i="52"/>
  <c r="F298" i="52"/>
  <c r="F201" i="52"/>
  <c r="F212" i="52"/>
  <c r="F199" i="52"/>
  <c r="F96" i="52"/>
  <c r="B96" i="51" s="1"/>
  <c r="F200" i="52"/>
  <c r="F196" i="52"/>
  <c r="F190" i="52"/>
  <c r="F191" i="52"/>
  <c r="F207" i="52"/>
  <c r="F208" i="52"/>
  <c r="F189" i="52"/>
  <c r="F160" i="52"/>
  <c r="F159" i="52"/>
  <c r="F156" i="52"/>
  <c r="F238" i="52"/>
  <c r="F155" i="52"/>
  <c r="F158" i="52"/>
  <c r="F242" i="52"/>
  <c r="F154" i="52"/>
  <c r="F157" i="52"/>
  <c r="F240" i="52"/>
  <c r="F243" i="52"/>
  <c r="F218" i="52"/>
  <c r="F153" i="52"/>
  <c r="D1" i="24" s="1"/>
  <c r="F67" i="52"/>
  <c r="F85" i="52"/>
  <c r="F300" i="52"/>
  <c r="B309" i="51" s="1"/>
  <c r="F288" i="52"/>
  <c r="F278" i="52"/>
  <c r="F268" i="52"/>
  <c r="F258" i="52"/>
  <c r="F248" i="52"/>
  <c r="D5" i="27" s="1"/>
  <c r="F234" i="52"/>
  <c r="F224" i="52"/>
  <c r="F213" i="52"/>
  <c r="F186" i="52"/>
  <c r="F176" i="52"/>
  <c r="F165" i="52"/>
  <c r="B156" i="51"/>
  <c r="F146" i="52"/>
  <c r="F136" i="52"/>
  <c r="F126" i="52"/>
  <c r="F116" i="52"/>
  <c r="F106" i="52"/>
  <c r="F94" i="52"/>
  <c r="F83" i="52"/>
  <c r="F73" i="52"/>
  <c r="F62" i="52"/>
  <c r="F52" i="52"/>
  <c r="F42" i="52"/>
  <c r="F32" i="52"/>
  <c r="F22" i="52"/>
  <c r="F12" i="52"/>
  <c r="F185" i="52"/>
  <c r="F164" i="52"/>
  <c r="B155" i="51"/>
  <c r="F135" i="52"/>
  <c r="F115" i="52"/>
  <c r="D12" i="21" s="1"/>
  <c r="F93" i="52"/>
  <c r="F72" i="52"/>
  <c r="F61" i="52"/>
  <c r="D31" i="4" s="1"/>
  <c r="F41" i="52"/>
  <c r="F31" i="52"/>
  <c r="F21" i="52"/>
  <c r="F11" i="52"/>
  <c r="F20" i="52"/>
  <c r="F119" i="52"/>
  <c r="F5" i="52"/>
  <c r="F297" i="52"/>
  <c r="F287" i="52"/>
  <c r="F277" i="52"/>
  <c r="F267" i="52"/>
  <c r="F257" i="52"/>
  <c r="F247" i="52"/>
  <c r="F233" i="52"/>
  <c r="F223" i="52"/>
  <c r="F175" i="52"/>
  <c r="F145" i="52"/>
  <c r="F125" i="52"/>
  <c r="F105" i="52"/>
  <c r="F82" i="52"/>
  <c r="F51" i="52"/>
  <c r="F168" i="52"/>
  <c r="F98" i="52"/>
  <c r="F35" i="52"/>
  <c r="F296" i="52"/>
  <c r="F286" i="52"/>
  <c r="F276" i="52"/>
  <c r="F266" i="52"/>
  <c r="F256" i="52"/>
  <c r="F246" i="52"/>
  <c r="F232" i="52"/>
  <c r="F222" i="52"/>
  <c r="D1" i="26" s="1"/>
  <c r="F184" i="52"/>
  <c r="F174" i="52"/>
  <c r="F163" i="52"/>
  <c r="B154" i="51"/>
  <c r="F144" i="52"/>
  <c r="F134" i="52"/>
  <c r="F124" i="52"/>
  <c r="F114" i="52"/>
  <c r="F104" i="52"/>
  <c r="F92" i="52"/>
  <c r="F81" i="52"/>
  <c r="F71" i="52"/>
  <c r="F60" i="52"/>
  <c r="F50" i="52"/>
  <c r="F40" i="52"/>
  <c r="F30" i="52"/>
  <c r="F10" i="52"/>
  <c r="F179" i="52"/>
  <c r="F109" i="52"/>
  <c r="F45" i="52"/>
  <c r="F295" i="52"/>
  <c r="F285" i="52"/>
  <c r="F275" i="52"/>
  <c r="D1" i="28" s="1"/>
  <c r="F265" i="52"/>
  <c r="D22" i="27" s="1"/>
  <c r="F255" i="52"/>
  <c r="F245" i="52"/>
  <c r="F231" i="52"/>
  <c r="F221" i="52"/>
  <c r="F183" i="52"/>
  <c r="F173" i="52"/>
  <c r="F162" i="52"/>
  <c r="B153" i="51"/>
  <c r="F143" i="52"/>
  <c r="F133" i="52"/>
  <c r="F123" i="52"/>
  <c r="F113" i="52"/>
  <c r="F103" i="52"/>
  <c r="F91" i="52"/>
  <c r="F80" i="52"/>
  <c r="F70" i="52"/>
  <c r="F59" i="52"/>
  <c r="F49" i="52"/>
  <c r="F39" i="52"/>
  <c r="F29" i="52"/>
  <c r="F19" i="52"/>
  <c r="F9" i="52"/>
  <c r="F139" i="52"/>
  <c r="F55" i="52"/>
  <c r="F294" i="52"/>
  <c r="F284" i="52"/>
  <c r="F274" i="52"/>
  <c r="F264" i="52"/>
  <c r="F254" i="52"/>
  <c r="F244" i="52"/>
  <c r="F230" i="52"/>
  <c r="F220" i="52"/>
  <c r="F182" i="52"/>
  <c r="F172" i="52"/>
  <c r="F161" i="52"/>
  <c r="F152" i="52"/>
  <c r="F142" i="52"/>
  <c r="F132" i="52"/>
  <c r="F122" i="52"/>
  <c r="F112" i="52"/>
  <c r="F101" i="52"/>
  <c r="B101" i="51" s="1"/>
  <c r="F90" i="52"/>
  <c r="F79" i="52"/>
  <c r="F69" i="52"/>
  <c r="F58" i="52"/>
  <c r="F48" i="52"/>
  <c r="F38" i="52"/>
  <c r="F28" i="52"/>
  <c r="F18" i="52"/>
  <c r="F8" i="52"/>
  <c r="F149" i="52"/>
  <c r="F65" i="52"/>
  <c r="F15" i="52"/>
  <c r="F293" i="52"/>
  <c r="F283" i="52"/>
  <c r="F273" i="52"/>
  <c r="F263" i="52"/>
  <c r="F253" i="52"/>
  <c r="F241" i="52"/>
  <c r="F229" i="52"/>
  <c r="F219" i="52"/>
  <c r="F181" i="52"/>
  <c r="F171" i="52"/>
  <c r="B161" i="51"/>
  <c r="F151" i="52"/>
  <c r="D20" i="23" s="1"/>
  <c r="F141" i="52"/>
  <c r="F131" i="52"/>
  <c r="F121" i="52"/>
  <c r="F111" i="52"/>
  <c r="F100" i="52"/>
  <c r="F89" i="52"/>
  <c r="F78" i="52"/>
  <c r="F68" i="52"/>
  <c r="F57" i="52"/>
  <c r="F47" i="52"/>
  <c r="F37" i="52"/>
  <c r="F27" i="52"/>
  <c r="F17" i="52"/>
  <c r="F7" i="52"/>
  <c r="B159" i="51"/>
  <c r="F76" i="52"/>
  <c r="F292" i="52"/>
  <c r="F282" i="52"/>
  <c r="F272" i="52"/>
  <c r="F262" i="52"/>
  <c r="F252" i="52"/>
  <c r="F239" i="52"/>
  <c r="F228" i="52"/>
  <c r="F217" i="52"/>
  <c r="F180" i="52"/>
  <c r="F170" i="52"/>
  <c r="B160" i="51"/>
  <c r="F150" i="52"/>
  <c r="F140" i="52"/>
  <c r="F130" i="52"/>
  <c r="F120" i="52"/>
  <c r="F110" i="52"/>
  <c r="F99" i="52"/>
  <c r="F88" i="52"/>
  <c r="F77" i="52"/>
  <c r="F66" i="52"/>
  <c r="F56" i="52"/>
  <c r="F46" i="52"/>
  <c r="F36" i="52"/>
  <c r="F26" i="52"/>
  <c r="F16" i="52"/>
  <c r="D1" i="3" s="1"/>
  <c r="F6" i="52"/>
  <c r="F129" i="52"/>
  <c r="F87" i="52"/>
  <c r="F25" i="52"/>
  <c r="F303" i="52"/>
  <c r="F291" i="52"/>
  <c r="F281" i="52"/>
  <c r="F271" i="52"/>
  <c r="F261" i="52"/>
  <c r="F251" i="52"/>
  <c r="D8" i="27" s="1"/>
  <c r="F237" i="52"/>
  <c r="F227" i="52"/>
  <c r="F216" i="52"/>
  <c r="F302" i="52"/>
  <c r="F290" i="52"/>
  <c r="F280" i="52"/>
  <c r="F270" i="52"/>
  <c r="F260" i="52"/>
  <c r="F250" i="52"/>
  <c r="F236" i="52"/>
  <c r="F226" i="52"/>
  <c r="F215" i="52"/>
  <c r="F188" i="52"/>
  <c r="F178" i="52"/>
  <c r="F167" i="52"/>
  <c r="B158" i="51"/>
  <c r="F148" i="52"/>
  <c r="F138" i="52"/>
  <c r="F128" i="52"/>
  <c r="F118" i="52"/>
  <c r="F108" i="52"/>
  <c r="F97" i="52"/>
  <c r="F86" i="52"/>
  <c r="D26" i="20" s="1"/>
  <c r="F75" i="52"/>
  <c r="F64" i="52"/>
  <c r="F54" i="52"/>
  <c r="F44" i="52"/>
  <c r="F34" i="52"/>
  <c r="F24" i="52"/>
  <c r="F14" i="52"/>
  <c r="F301" i="52"/>
  <c r="F289" i="52"/>
  <c r="F279" i="52"/>
  <c r="F269" i="52"/>
  <c r="F259" i="52"/>
  <c r="F249" i="52"/>
  <c r="F235" i="52"/>
  <c r="F225" i="52"/>
  <c r="F214" i="52"/>
  <c r="F187" i="52"/>
  <c r="F177" i="52"/>
  <c r="F166" i="52"/>
  <c r="B157" i="51"/>
  <c r="F147" i="52"/>
  <c r="F137" i="52"/>
  <c r="F127" i="52"/>
  <c r="F117" i="52"/>
  <c r="F107" i="52"/>
  <c r="F95" i="52"/>
  <c r="F84" i="52"/>
  <c r="F74" i="52"/>
  <c r="F63" i="52"/>
  <c r="D1" i="20" s="1"/>
  <c r="F53" i="52"/>
  <c r="F43" i="52"/>
  <c r="F33" i="52"/>
  <c r="B33" i="51" s="1"/>
  <c r="F23" i="52"/>
  <c r="F13" i="52"/>
  <c r="B613" i="34"/>
  <c r="B58" i="34"/>
  <c r="B43" i="34"/>
  <c r="F3" i="19" s="1"/>
  <c r="B65" i="34"/>
  <c r="B606" i="34"/>
  <c r="B6" i="34"/>
  <c r="B5" i="1" s="1"/>
  <c r="B47" i="34"/>
  <c r="F3" i="53" s="1"/>
  <c r="N3" i="53" s="1"/>
  <c r="B24" i="34"/>
  <c r="B69" i="34"/>
  <c r="A3" i="40" s="1"/>
  <c r="B610" i="34"/>
  <c r="B14" i="34"/>
  <c r="D19" i="1" s="1"/>
  <c r="B74" i="34"/>
  <c r="B34" i="1" s="1"/>
  <c r="B51" i="34"/>
  <c r="A20" i="53" s="1"/>
  <c r="I20" i="53" s="1"/>
  <c r="B28" i="34"/>
  <c r="D17" i="2" s="1"/>
  <c r="B73" i="34"/>
  <c r="B26" i="1" s="1"/>
  <c r="B32" i="34"/>
  <c r="D35" i="21" s="1"/>
  <c r="B29" i="34"/>
  <c r="B36" i="34"/>
  <c r="G51" i="25" s="1"/>
  <c r="B33" i="34"/>
  <c r="D28" i="23" s="1"/>
  <c r="B22" i="34"/>
  <c r="E3" i="2" s="1"/>
  <c r="E3" i="40" s="1"/>
  <c r="B66" i="34"/>
  <c r="B35" i="34"/>
  <c r="G36" i="4" s="1"/>
  <c r="F3" i="4" s="1"/>
  <c r="B79" i="34"/>
  <c r="B24" i="1" s="1"/>
  <c r="B60" i="34"/>
  <c r="J4" i="26" s="1"/>
  <c r="B41" i="34"/>
  <c r="B604" i="34"/>
  <c r="B26" i="34"/>
  <c r="D18" i="2" s="1"/>
  <c r="B70" i="34"/>
  <c r="L22" i="53" s="1"/>
  <c r="B39" i="34"/>
  <c r="A3" i="53" s="1"/>
  <c r="I3" i="53" s="1"/>
  <c r="B4" i="34"/>
  <c r="B3" i="1" s="1"/>
  <c r="B64" i="34"/>
  <c r="B53" i="34"/>
  <c r="A24" i="53" s="1"/>
  <c r="I24" i="53" s="1"/>
  <c r="B40" i="34"/>
  <c r="C3" i="19" s="1"/>
  <c r="B5" i="34"/>
  <c r="B4" i="1" s="1"/>
  <c r="B45" i="34"/>
  <c r="D3" i="53" s="1"/>
  <c r="L3" i="53" s="1"/>
  <c r="B44" i="34"/>
  <c r="A25" i="53" s="1"/>
  <c r="I25" i="53" s="1"/>
  <c r="B9" i="34"/>
  <c r="B13" i="1" s="1"/>
  <c r="B49" i="34"/>
  <c r="L1" i="19" s="1"/>
  <c r="B57" i="34"/>
  <c r="B52" i="34"/>
  <c r="A22" i="53" s="1"/>
  <c r="I22" i="53" s="1"/>
  <c r="B17" i="34"/>
  <c r="B607" i="34"/>
  <c r="B614" i="34"/>
  <c r="B10" i="34"/>
  <c r="B28" i="1" s="1"/>
  <c r="B50" i="34"/>
  <c r="A14" i="53" s="1"/>
  <c r="B15" i="34"/>
  <c r="B21" i="1" s="1"/>
  <c r="B55" i="34"/>
  <c r="D3" i="3" s="1"/>
  <c r="B16" i="34"/>
  <c r="B56" i="34"/>
  <c r="E3" i="21" s="1"/>
  <c r="B21" i="34"/>
  <c r="F5" i="53"/>
  <c r="K5" i="53"/>
  <c r="N5" i="53" s="1"/>
  <c r="A9" i="31"/>
  <c r="C10" i="31"/>
  <c r="C9" i="33"/>
  <c r="A8" i="33"/>
  <c r="E22" i="52"/>
  <c r="C8" i="3"/>
  <c r="A10" i="52"/>
  <c r="L7" i="19"/>
  <c r="G33" i="4" l="1"/>
  <c r="I33" i="4"/>
  <c r="E3" i="19"/>
  <c r="F8" i="40"/>
  <c r="D3" i="19"/>
  <c r="E8" i="40"/>
  <c r="J3" i="27"/>
  <c r="J3" i="28"/>
  <c r="I3" i="27"/>
  <c r="I3" i="28"/>
  <c r="H3" i="27"/>
  <c r="H3" i="28"/>
  <c r="J3" i="25"/>
  <c r="I4" i="26"/>
  <c r="I3" i="25"/>
  <c r="H4" i="26"/>
  <c r="H3" i="24"/>
  <c r="H3" i="25"/>
  <c r="J3" i="23"/>
  <c r="J3" i="24"/>
  <c r="I3" i="23"/>
  <c r="I3" i="24"/>
  <c r="H3" i="21"/>
  <c r="H3" i="23"/>
  <c r="J3" i="30"/>
  <c r="J3" i="21"/>
  <c r="I3" i="30"/>
  <c r="I3" i="21"/>
  <c r="H3" i="20"/>
  <c r="H3" i="30"/>
  <c r="J3" i="4"/>
  <c r="J3" i="20"/>
  <c r="I3" i="4"/>
  <c r="I3" i="20"/>
  <c r="H3" i="3"/>
  <c r="H3" i="4"/>
  <c r="B85" i="51"/>
  <c r="D25" i="20"/>
  <c r="A1" i="47"/>
  <c r="G1" i="27"/>
  <c r="M7" i="19"/>
  <c r="J24" i="3" s="1"/>
  <c r="J3" i="3"/>
  <c r="I3" i="3"/>
  <c r="A38" i="21"/>
  <c r="B231" i="51"/>
  <c r="B187" i="51"/>
  <c r="D1" i="25"/>
  <c r="B134" i="51"/>
  <c r="D1" i="23"/>
  <c r="B106" i="51"/>
  <c r="D1" i="21"/>
  <c r="B95" i="51"/>
  <c r="D1" i="30"/>
  <c r="B63" i="51"/>
  <c r="B255" i="51"/>
  <c r="D1" i="27"/>
  <c r="B284" i="51"/>
  <c r="G1" i="3"/>
  <c r="K6" i="19"/>
  <c r="G5" i="53"/>
  <c r="D25" i="23"/>
  <c r="G1" i="26"/>
  <c r="D29" i="24"/>
  <c r="D32" i="28"/>
  <c r="G1" i="4"/>
  <c r="D35" i="4"/>
  <c r="D24" i="3"/>
  <c r="G1" i="20"/>
  <c r="C6" i="19"/>
  <c r="D38" i="20"/>
  <c r="D14" i="30"/>
  <c r="G1" i="23"/>
  <c r="D34" i="27"/>
  <c r="D16" i="2"/>
  <c r="L6" i="19"/>
  <c r="D33" i="28"/>
  <c r="D50" i="25"/>
  <c r="D6" i="19"/>
  <c r="G29" i="24"/>
  <c r="G3" i="24" s="1"/>
  <c r="G1" i="24" s="1"/>
  <c r="G31" i="26"/>
  <c r="G4" i="26" s="1"/>
  <c r="G36" i="21"/>
  <c r="G32" i="28"/>
  <c r="G3" i="28" s="1"/>
  <c r="G34" i="26"/>
  <c r="G52" i="25"/>
  <c r="G35" i="4"/>
  <c r="G3" i="4" s="1"/>
  <c r="D36" i="4"/>
  <c r="G14" i="30"/>
  <c r="G3" i="30" s="1"/>
  <c r="D33" i="21"/>
  <c r="F3" i="40"/>
  <c r="G37" i="27"/>
  <c r="D39" i="20"/>
  <c r="D35" i="27"/>
  <c r="G25" i="23"/>
  <c r="G3" i="23" s="1"/>
  <c r="G32" i="24"/>
  <c r="G35" i="28"/>
  <c r="G38" i="4"/>
  <c r="M6" i="19"/>
  <c r="I8" i="40" s="1"/>
  <c r="G17" i="30"/>
  <c r="D15" i="30"/>
  <c r="H6" i="19"/>
  <c r="G49" i="25"/>
  <c r="I46" i="25" s="1"/>
  <c r="D25" i="3"/>
  <c r="G24" i="3"/>
  <c r="G3" i="3" s="1"/>
  <c r="D32" i="26"/>
  <c r="G27" i="3"/>
  <c r="D34" i="21"/>
  <c r="G34" i="27"/>
  <c r="G3" i="27" s="1"/>
  <c r="D49" i="25"/>
  <c r="G28" i="23"/>
  <c r="D26" i="23"/>
  <c r="G38" i="20"/>
  <c r="G3" i="20" s="1"/>
  <c r="G26" i="3"/>
  <c r="G50" i="25"/>
  <c r="F3" i="25" s="1"/>
  <c r="G15" i="30"/>
  <c r="F3" i="30" s="1"/>
  <c r="C13" i="2"/>
  <c r="B14" i="51"/>
  <c r="B37" i="51"/>
  <c r="D7" i="4"/>
  <c r="D22" i="24"/>
  <c r="B182" i="51"/>
  <c r="D14" i="27"/>
  <c r="B266" i="51"/>
  <c r="B243" i="51"/>
  <c r="D16" i="26"/>
  <c r="B128" i="51"/>
  <c r="D25" i="21"/>
  <c r="D17" i="4"/>
  <c r="B47" i="51"/>
  <c r="D8" i="25"/>
  <c r="B192" i="51"/>
  <c r="B51" i="51"/>
  <c r="D21" i="4"/>
  <c r="D24" i="27"/>
  <c r="B276" i="51"/>
  <c r="B252" i="51"/>
  <c r="D25" i="26"/>
  <c r="D35" i="25"/>
  <c r="B219" i="51"/>
  <c r="B4" i="51"/>
  <c r="C1" i="2"/>
  <c r="B4" i="53" s="1"/>
  <c r="D22" i="53"/>
  <c r="D4" i="21"/>
  <c r="B107" i="51"/>
  <c r="B234" i="51"/>
  <c r="D7" i="26"/>
  <c r="B34" i="51"/>
  <c r="D4" i="4"/>
  <c r="B138" i="51"/>
  <c r="D7" i="23"/>
  <c r="D17" i="27"/>
  <c r="B269" i="51"/>
  <c r="D28" i="27"/>
  <c r="B280" i="51"/>
  <c r="D6" i="4"/>
  <c r="B36" i="51"/>
  <c r="B140" i="51"/>
  <c r="D9" i="23"/>
  <c r="D29" i="27"/>
  <c r="B281" i="51"/>
  <c r="D27" i="4"/>
  <c r="B57" i="51"/>
  <c r="B302" i="51"/>
  <c r="D21" i="28"/>
  <c r="D9" i="20"/>
  <c r="B69" i="51"/>
  <c r="D21" i="24"/>
  <c r="B181" i="51"/>
  <c r="B55" i="51"/>
  <c r="D25" i="4"/>
  <c r="D31" i="20"/>
  <c r="B91" i="51"/>
  <c r="B230" i="51"/>
  <c r="D46" i="25"/>
  <c r="B188" i="51"/>
  <c r="D4" i="25"/>
  <c r="B114" i="51"/>
  <c r="D11" i="21"/>
  <c r="D22" i="20"/>
  <c r="B82" i="51"/>
  <c r="D5" i="28"/>
  <c r="B286" i="51"/>
  <c r="B61" i="51"/>
  <c r="D1" i="4"/>
  <c r="B32" i="51"/>
  <c r="D5" i="23"/>
  <c r="B136" i="51"/>
  <c r="B267" i="51"/>
  <c r="D15" i="27"/>
  <c r="B249" i="51"/>
  <c r="D22" i="26"/>
  <c r="D14" i="25"/>
  <c r="B198" i="51"/>
  <c r="D26" i="25"/>
  <c r="B210" i="51"/>
  <c r="B211" i="51"/>
  <c r="D27" i="25"/>
  <c r="B260" i="51"/>
  <c r="B282" i="51"/>
  <c r="D30" i="27"/>
  <c r="B168" i="51"/>
  <c r="D9" i="24"/>
  <c r="D27" i="21"/>
  <c r="B130" i="51"/>
  <c r="D9" i="3"/>
  <c r="B22" i="51"/>
  <c r="A1" i="1"/>
  <c r="C12" i="2"/>
  <c r="B13" i="51"/>
  <c r="B117" i="51"/>
  <c r="D14" i="21"/>
  <c r="B244" i="51"/>
  <c r="D17" i="26"/>
  <c r="D14" i="4"/>
  <c r="B44" i="51"/>
  <c r="B148" i="51"/>
  <c r="D17" i="23"/>
  <c r="D27" i="27"/>
  <c r="B279" i="51"/>
  <c r="D9" i="28"/>
  <c r="B290" i="51"/>
  <c r="D16" i="4"/>
  <c r="B46" i="51"/>
  <c r="B150" i="51"/>
  <c r="D19" i="23"/>
  <c r="B291" i="51"/>
  <c r="D10" i="28"/>
  <c r="D8" i="20"/>
  <c r="B68" i="51"/>
  <c r="D20" i="24"/>
  <c r="B180" i="51"/>
  <c r="C14" i="2"/>
  <c r="B15" i="51"/>
  <c r="D19" i="20"/>
  <c r="B79" i="51"/>
  <c r="D7" i="25"/>
  <c r="B191" i="51"/>
  <c r="D8" i="23"/>
  <c r="B139" i="51"/>
  <c r="D9" i="30"/>
  <c r="B103" i="51"/>
  <c r="D13" i="26"/>
  <c r="B240" i="51"/>
  <c r="C9" i="2"/>
  <c r="B10" i="51"/>
  <c r="B124" i="51"/>
  <c r="D21" i="21"/>
  <c r="B265" i="51"/>
  <c r="D13" i="27"/>
  <c r="D11" i="30"/>
  <c r="B105" i="51"/>
  <c r="D15" i="28"/>
  <c r="B296" i="51"/>
  <c r="D12" i="20"/>
  <c r="B72" i="51"/>
  <c r="D12" i="4"/>
  <c r="B42" i="51"/>
  <c r="D15" i="23"/>
  <c r="B146" i="51"/>
  <c r="B277" i="51"/>
  <c r="D25" i="27"/>
  <c r="D7" i="24"/>
  <c r="B166" i="51"/>
  <c r="B217" i="51"/>
  <c r="D33" i="25"/>
  <c r="B307" i="51"/>
  <c r="D26" i="28"/>
  <c r="D29" i="25"/>
  <c r="B213" i="51"/>
  <c r="B16" i="51"/>
  <c r="B152" i="51"/>
  <c r="D21" i="23"/>
  <c r="D15" i="4"/>
  <c r="B45" i="51"/>
  <c r="D18" i="27"/>
  <c r="B270" i="51"/>
  <c r="B292" i="51"/>
  <c r="D11" i="28"/>
  <c r="D6" i="21"/>
  <c r="B109" i="51"/>
  <c r="B41" i="51"/>
  <c r="D11" i="4"/>
  <c r="A1" i="53"/>
  <c r="D10" i="3"/>
  <c r="B23" i="51"/>
  <c r="B127" i="51"/>
  <c r="D24" i="21"/>
  <c r="B258" i="51"/>
  <c r="D6" i="27"/>
  <c r="B54" i="51"/>
  <c r="D24" i="4"/>
  <c r="D8" i="28"/>
  <c r="B289" i="51"/>
  <c r="D19" i="28"/>
  <c r="B300" i="51"/>
  <c r="D26" i="4"/>
  <c r="B56" i="51"/>
  <c r="D20" i="28"/>
  <c r="B301" i="51"/>
  <c r="D18" i="20"/>
  <c r="B78" i="51"/>
  <c r="D6" i="25"/>
  <c r="B190" i="51"/>
  <c r="B65" i="51"/>
  <c r="D5" i="20"/>
  <c r="D30" i="20"/>
  <c r="B90" i="51"/>
  <c r="B229" i="51"/>
  <c r="D45" i="25"/>
  <c r="C8" i="2"/>
  <c r="B9" i="51"/>
  <c r="D10" i="21"/>
  <c r="B113" i="51"/>
  <c r="D27" i="26"/>
  <c r="B254" i="51"/>
  <c r="B30" i="51"/>
  <c r="D20" i="3"/>
  <c r="B275" i="51"/>
  <c r="D23" i="27"/>
  <c r="D22" i="21"/>
  <c r="B125" i="51"/>
  <c r="D25" i="28"/>
  <c r="B306" i="51"/>
  <c r="B93" i="51"/>
  <c r="D33" i="20"/>
  <c r="B52" i="51"/>
  <c r="D22" i="4"/>
  <c r="D6" i="28"/>
  <c r="B287" i="51"/>
  <c r="D4" i="24"/>
  <c r="B163" i="51"/>
  <c r="B216" i="51"/>
  <c r="D32" i="25"/>
  <c r="B215" i="51"/>
  <c r="D31" i="25"/>
  <c r="D34" i="25"/>
  <c r="B218" i="51"/>
  <c r="B245" i="51"/>
  <c r="D18" i="26"/>
  <c r="B48" i="51"/>
  <c r="D18" i="4"/>
  <c r="B208" i="51"/>
  <c r="D24" i="25"/>
  <c r="B24" i="51"/>
  <c r="D11" i="3"/>
  <c r="B259" i="51"/>
  <c r="D7" i="27"/>
  <c r="D16" i="3"/>
  <c r="B26" i="51"/>
  <c r="B58" i="51"/>
  <c r="D28" i="4"/>
  <c r="B104" i="51"/>
  <c r="D10" i="30"/>
  <c r="B257" i="51"/>
  <c r="A22" i="19"/>
  <c r="B137" i="51"/>
  <c r="D6" i="23"/>
  <c r="D16" i="27"/>
  <c r="B268" i="51"/>
  <c r="B64" i="51"/>
  <c r="D4" i="20"/>
  <c r="B176" i="51"/>
  <c r="D17" i="24"/>
  <c r="B299" i="51"/>
  <c r="D18" i="28"/>
  <c r="D6" i="40"/>
  <c r="B312" i="51"/>
  <c r="B66" i="51"/>
  <c r="D6" i="20"/>
  <c r="B179" i="51"/>
  <c r="D19" i="24"/>
  <c r="B76" i="51"/>
  <c r="D16" i="20"/>
  <c r="D29" i="20"/>
  <c r="B89" i="51"/>
  <c r="D44" i="25"/>
  <c r="B228" i="51"/>
  <c r="D18" i="23"/>
  <c r="B149" i="51"/>
  <c r="D12" i="26"/>
  <c r="B239" i="51"/>
  <c r="B19" i="51"/>
  <c r="D6" i="3"/>
  <c r="D20" i="21"/>
  <c r="B123" i="51"/>
  <c r="B264" i="51"/>
  <c r="D12" i="27"/>
  <c r="D10" i="4"/>
  <c r="B40" i="51"/>
  <c r="D13" i="23"/>
  <c r="B144" i="51"/>
  <c r="B285" i="51"/>
  <c r="D4" i="28"/>
  <c r="D14" i="23"/>
  <c r="B145" i="51"/>
  <c r="C4" i="2"/>
  <c r="B5" i="51"/>
  <c r="B115" i="51"/>
  <c r="B62" i="51"/>
  <c r="D32" i="4"/>
  <c r="B174" i="51"/>
  <c r="D15" i="24"/>
  <c r="D16" i="28"/>
  <c r="B297" i="51"/>
  <c r="B251" i="51"/>
  <c r="D24" i="26"/>
  <c r="B200" i="51"/>
  <c r="D16" i="25"/>
  <c r="B204" i="51"/>
  <c r="D20" i="25"/>
  <c r="B202" i="51"/>
  <c r="D18" i="25"/>
  <c r="B120" i="51"/>
  <c r="D17" i="21"/>
  <c r="B293" i="51"/>
  <c r="D12" i="28"/>
  <c r="D18" i="24"/>
  <c r="B177" i="51"/>
  <c r="D30" i="25"/>
  <c r="B214" i="51"/>
  <c r="D39" i="25"/>
  <c r="B223" i="51"/>
  <c r="B151" i="51"/>
  <c r="D20" i="20"/>
  <c r="B80" i="51"/>
  <c r="B241" i="51"/>
  <c r="D14" i="26"/>
  <c r="B221" i="51"/>
  <c r="D37" i="25"/>
  <c r="D13" i="4"/>
  <c r="B43" i="51"/>
  <c r="B147" i="51"/>
  <c r="D16" i="23"/>
  <c r="D26" i="27"/>
  <c r="B278" i="51"/>
  <c r="B75" i="51"/>
  <c r="D15" i="20"/>
  <c r="B311" i="51"/>
  <c r="D5" i="40"/>
  <c r="D12" i="3"/>
  <c r="B25" i="51"/>
  <c r="B77" i="51"/>
  <c r="D17" i="20"/>
  <c r="B189" i="51"/>
  <c r="D5" i="25"/>
  <c r="D7" i="30"/>
  <c r="B100" i="51"/>
  <c r="D11" i="26"/>
  <c r="B238" i="51"/>
  <c r="B8" i="51"/>
  <c r="C7" i="2"/>
  <c r="B112" i="51"/>
  <c r="D9" i="21"/>
  <c r="B253" i="51"/>
  <c r="D26" i="26"/>
  <c r="D19" i="3"/>
  <c r="B29" i="51"/>
  <c r="B133" i="51"/>
  <c r="D30" i="21"/>
  <c r="B274" i="51"/>
  <c r="B50" i="51"/>
  <c r="D20" i="4"/>
  <c r="B295" i="51"/>
  <c r="D14" i="28"/>
  <c r="D24" i="24"/>
  <c r="B184" i="51"/>
  <c r="B119" i="51"/>
  <c r="D16" i="21"/>
  <c r="D4" i="23"/>
  <c r="B135" i="51"/>
  <c r="D13" i="20"/>
  <c r="B73" i="51"/>
  <c r="B185" i="51"/>
  <c r="D25" i="24"/>
  <c r="B167" i="51"/>
  <c r="D8" i="24"/>
  <c r="D15" i="25"/>
  <c r="B199" i="51"/>
  <c r="D23" i="25"/>
  <c r="B207" i="51"/>
  <c r="D17" i="25"/>
  <c r="B201" i="51"/>
  <c r="B196" i="51"/>
  <c r="D12" i="25"/>
  <c r="B141" i="51"/>
  <c r="D10" i="23"/>
  <c r="D10" i="20"/>
  <c r="B70" i="51"/>
  <c r="B31" i="51"/>
  <c r="D21" i="3"/>
  <c r="D13" i="21"/>
  <c r="B116" i="51"/>
  <c r="B303" i="51"/>
  <c r="D22" i="28"/>
  <c r="B169" i="51"/>
  <c r="D10" i="24"/>
  <c r="B53" i="51"/>
  <c r="D23" i="4"/>
  <c r="B288" i="51"/>
  <c r="D7" i="28"/>
  <c r="B86" i="51"/>
  <c r="B197" i="51"/>
  <c r="D13" i="25"/>
  <c r="B225" i="51"/>
  <c r="D41" i="25"/>
  <c r="D27" i="20"/>
  <c r="B87" i="51"/>
  <c r="B88" i="51"/>
  <c r="D28" i="20"/>
  <c r="B226" i="51"/>
  <c r="D42" i="25"/>
  <c r="B7" i="51"/>
  <c r="C6" i="2"/>
  <c r="D8" i="21"/>
  <c r="B111" i="51"/>
  <c r="D23" i="26"/>
  <c r="B250" i="51"/>
  <c r="B18" i="51"/>
  <c r="D5" i="3"/>
  <c r="B122" i="51"/>
  <c r="D19" i="21"/>
  <c r="D11" i="27"/>
  <c r="B263" i="51"/>
  <c r="B39" i="51"/>
  <c r="D9" i="4"/>
  <c r="B143" i="51"/>
  <c r="D12" i="23"/>
  <c r="B60" i="51"/>
  <c r="D30" i="4"/>
  <c r="D13" i="24"/>
  <c r="B172" i="51"/>
  <c r="D24" i="28"/>
  <c r="B305" i="51"/>
  <c r="B232" i="51"/>
  <c r="D5" i="26"/>
  <c r="D7" i="3"/>
  <c r="B20" i="51"/>
  <c r="D23" i="20"/>
  <c r="B83" i="51"/>
  <c r="B195" i="51"/>
  <c r="D11" i="25"/>
  <c r="D5" i="24"/>
  <c r="B164" i="51"/>
  <c r="B205" i="51"/>
  <c r="D21" i="25"/>
  <c r="D36" i="25"/>
  <c r="B220" i="51"/>
  <c r="B212" i="51"/>
  <c r="D28" i="25"/>
  <c r="B118" i="51"/>
  <c r="D15" i="21"/>
  <c r="C11" i="2"/>
  <c r="B12" i="51"/>
  <c r="D11" i="24"/>
  <c r="B170" i="51"/>
  <c r="D23" i="21"/>
  <c r="B126" i="51"/>
  <c r="D16" i="24"/>
  <c r="B175" i="51"/>
  <c r="D17" i="28"/>
  <c r="B298" i="51"/>
  <c r="D4" i="30"/>
  <c r="B97" i="51"/>
  <c r="D40" i="25"/>
  <c r="B224" i="51"/>
  <c r="B236" i="51"/>
  <c r="D9" i="26"/>
  <c r="D26" i="21"/>
  <c r="B129" i="51"/>
  <c r="B99" i="51"/>
  <c r="D6" i="30"/>
  <c r="B237" i="51"/>
  <c r="D10" i="26"/>
  <c r="B17" i="51"/>
  <c r="D4" i="3"/>
  <c r="B121" i="51"/>
  <c r="D18" i="21"/>
  <c r="D10" i="27"/>
  <c r="B262" i="51"/>
  <c r="D18" i="3"/>
  <c r="B28" i="51"/>
  <c r="B132" i="51"/>
  <c r="D29" i="21"/>
  <c r="B273" i="51"/>
  <c r="D21" i="27"/>
  <c r="B49" i="51"/>
  <c r="D19" i="4"/>
  <c r="B294" i="51"/>
  <c r="D13" i="28"/>
  <c r="D11" i="20"/>
  <c r="B71" i="51"/>
  <c r="B183" i="51"/>
  <c r="D23" i="24"/>
  <c r="D5" i="4"/>
  <c r="B35" i="51"/>
  <c r="D15" i="26"/>
  <c r="B242" i="51"/>
  <c r="C10" i="2"/>
  <c r="B11" i="51"/>
  <c r="D14" i="24"/>
  <c r="B173" i="51"/>
  <c r="B94" i="51"/>
  <c r="D34" i="20"/>
  <c r="D38" i="25"/>
  <c r="B222" i="51"/>
  <c r="B67" i="51"/>
  <c r="D7" i="20"/>
  <c r="B247" i="51"/>
  <c r="D20" i="26"/>
  <c r="B209" i="51"/>
  <c r="D25" i="25"/>
  <c r="B308" i="51"/>
  <c r="D27" i="28"/>
  <c r="B206" i="51"/>
  <c r="D22" i="25"/>
  <c r="B84" i="51"/>
  <c r="D24" i="20"/>
  <c r="D9" i="27"/>
  <c r="B261" i="51"/>
  <c r="B92" i="51"/>
  <c r="D32" i="20"/>
  <c r="B227" i="51"/>
  <c r="D43" i="25"/>
  <c r="B271" i="51"/>
  <c r="D19" i="27"/>
  <c r="D37" i="27"/>
  <c r="D14" i="20"/>
  <c r="B74" i="51"/>
  <c r="B186" i="51"/>
  <c r="D26" i="24"/>
  <c r="B310" i="51"/>
  <c r="D4" i="40"/>
  <c r="B108" i="51"/>
  <c r="D5" i="21"/>
  <c r="D8" i="26"/>
  <c r="B235" i="51"/>
  <c r="D19" i="26"/>
  <c r="B246" i="51"/>
  <c r="C5" i="2"/>
  <c r="B6" i="51"/>
  <c r="B110" i="51"/>
  <c r="D7" i="21"/>
  <c r="B248" i="51"/>
  <c r="D21" i="26"/>
  <c r="B27" i="51"/>
  <c r="D17" i="3"/>
  <c r="B131" i="51"/>
  <c r="D28" i="21"/>
  <c r="D20" i="27"/>
  <c r="B272" i="51"/>
  <c r="B38" i="51"/>
  <c r="D8" i="4"/>
  <c r="D11" i="23"/>
  <c r="B142" i="51"/>
  <c r="B283" i="51"/>
  <c r="D31" i="27"/>
  <c r="D29" i="4"/>
  <c r="B59" i="51"/>
  <c r="B171" i="51"/>
  <c r="D12" i="24"/>
  <c r="B304" i="51"/>
  <c r="D23" i="28"/>
  <c r="D21" i="20"/>
  <c r="B81" i="51"/>
  <c r="B193" i="51"/>
  <c r="D9" i="25"/>
  <c r="B98" i="51"/>
  <c r="D5" i="30"/>
  <c r="D4" i="27"/>
  <c r="B256" i="51"/>
  <c r="B21" i="51"/>
  <c r="D8" i="3"/>
  <c r="D10" i="25"/>
  <c r="B194" i="51"/>
  <c r="D6" i="26"/>
  <c r="B233" i="51"/>
  <c r="B162" i="51"/>
  <c r="B165" i="51"/>
  <c r="D6" i="24"/>
  <c r="B203" i="51"/>
  <c r="D19" i="25"/>
  <c r="E6" i="19"/>
  <c r="G31" i="24"/>
  <c r="D3" i="24"/>
  <c r="D37" i="4"/>
  <c r="D51" i="25"/>
  <c r="G34" i="28"/>
  <c r="D31" i="24"/>
  <c r="D32" i="24"/>
  <c r="D36" i="27"/>
  <c r="D34" i="28"/>
  <c r="I1" i="53"/>
  <c r="D33" i="26"/>
  <c r="I6" i="19"/>
  <c r="D3" i="28"/>
  <c r="D26" i="3"/>
  <c r="G36" i="27"/>
  <c r="D3" i="25"/>
  <c r="D16" i="30"/>
  <c r="D27" i="23"/>
  <c r="D36" i="21"/>
  <c r="D40" i="20"/>
  <c r="D27" i="3"/>
  <c r="H1" i="40"/>
  <c r="G40" i="20"/>
  <c r="G35" i="21"/>
  <c r="G27" i="23"/>
  <c r="D52" i="25"/>
  <c r="D34" i="26"/>
  <c r="A8" i="40"/>
  <c r="A3" i="19"/>
  <c r="A6" i="19" s="1"/>
  <c r="D35" i="28"/>
  <c r="G6" i="19"/>
  <c r="G32" i="26"/>
  <c r="F4" i="26" s="1"/>
  <c r="F27" i="19"/>
  <c r="G33" i="28"/>
  <c r="F3" i="28" s="1"/>
  <c r="G39" i="20"/>
  <c r="F3" i="20" s="1"/>
  <c r="G35" i="27"/>
  <c r="F3" i="27" s="1"/>
  <c r="G26" i="23"/>
  <c r="F3" i="23" s="1"/>
  <c r="F6" i="19"/>
  <c r="D38" i="4"/>
  <c r="D41" i="20"/>
  <c r="G25" i="3"/>
  <c r="F3" i="3" s="1"/>
  <c r="G33" i="26"/>
  <c r="D17" i="30"/>
  <c r="D3" i="23"/>
  <c r="G37" i="4"/>
  <c r="G30" i="24"/>
  <c r="F3" i="24" s="1"/>
  <c r="G16" i="30"/>
  <c r="G34" i="21"/>
  <c r="F3" i="21" s="1"/>
  <c r="A36" i="26"/>
  <c r="A40" i="4"/>
  <c r="A43" i="20"/>
  <c r="A35" i="24"/>
  <c r="A19" i="2"/>
  <c r="A16" i="19"/>
  <c r="A20" i="19" s="1"/>
  <c r="A19" i="30"/>
  <c r="D28" i="28"/>
  <c r="A38" i="28"/>
  <c r="A54" i="25"/>
  <c r="A29" i="3"/>
  <c r="A39" i="27"/>
  <c r="A27" i="19"/>
  <c r="D3" i="21"/>
  <c r="D4" i="26"/>
  <c r="E3" i="4"/>
  <c r="E3" i="24"/>
  <c r="E4" i="26"/>
  <c r="E3" i="28"/>
  <c r="E3" i="27"/>
  <c r="D3" i="4"/>
  <c r="D3" i="27"/>
  <c r="D3" i="20"/>
  <c r="A24" i="19"/>
  <c r="C3" i="2"/>
  <c r="E3" i="30"/>
  <c r="J6" i="19"/>
  <c r="E3" i="23"/>
  <c r="D3" i="30"/>
  <c r="E3" i="25"/>
  <c r="E3" i="3"/>
  <c r="E3" i="20"/>
  <c r="C3" i="53"/>
  <c r="K3" i="53" s="1"/>
  <c r="O5" i="53"/>
  <c r="A18" i="53"/>
  <c r="I14" i="53"/>
  <c r="I18" i="53" s="1"/>
  <c r="C11" i="31"/>
  <c r="A10" i="31"/>
  <c r="C10" i="33"/>
  <c r="A9" i="33"/>
  <c r="E23" i="52"/>
  <c r="C9" i="3"/>
  <c r="A11" i="52"/>
  <c r="B17" i="53" l="1"/>
  <c r="J17" i="53"/>
  <c r="B19" i="19"/>
  <c r="M3" i="19"/>
  <c r="G3" i="25"/>
  <c r="B6" i="53"/>
  <c r="J6" i="53"/>
  <c r="B5" i="53"/>
  <c r="J5" i="53"/>
  <c r="E33" i="28"/>
  <c r="A23" i="53"/>
  <c r="I23" i="53" s="1"/>
  <c r="J4" i="53"/>
  <c r="B11" i="53"/>
  <c r="J11" i="53"/>
  <c r="C12" i="31"/>
  <c r="A11" i="31"/>
  <c r="C11" i="33"/>
  <c r="A10" i="33"/>
  <c r="E24" i="52"/>
  <c r="C10" i="3"/>
  <c r="A12" i="52"/>
  <c r="E35" i="28" l="1"/>
  <c r="D19" i="19"/>
  <c r="D20" i="19" s="1"/>
  <c r="C13" i="31"/>
  <c r="A12" i="31"/>
  <c r="C12" i="33"/>
  <c r="A11" i="33"/>
  <c r="E25" i="52"/>
  <c r="C12" i="3" s="1"/>
  <c r="C11" i="3"/>
  <c r="A13" i="52"/>
  <c r="F19" i="19" l="1"/>
  <c r="F20" i="19" s="1"/>
  <c r="G1" i="28"/>
  <c r="C14" i="31"/>
  <c r="A13" i="31"/>
  <c r="C13" i="33"/>
  <c r="A12" i="33"/>
  <c r="A14" i="52"/>
  <c r="C15" i="31" l="1"/>
  <c r="A14" i="31"/>
  <c r="C14" i="33"/>
  <c r="A13" i="33"/>
  <c r="A15" i="52"/>
  <c r="C16" i="31" l="1"/>
  <c r="A15" i="31"/>
  <c r="C15" i="33"/>
  <c r="A14" i="33"/>
  <c r="A16" i="52"/>
  <c r="C17" i="31" l="1"/>
  <c r="A16" i="31"/>
  <c r="C16" i="33"/>
  <c r="A15" i="33"/>
  <c r="A17" i="31" l="1"/>
  <c r="C18" i="31"/>
  <c r="C17" i="33"/>
  <c r="A16" i="33"/>
  <c r="A17" i="52"/>
  <c r="C19" i="31" l="1"/>
  <c r="A18" i="31"/>
  <c r="C18" i="33"/>
  <c r="A17" i="33"/>
  <c r="A18" i="52"/>
  <c r="A19" i="31" l="1"/>
  <c r="C20" i="31"/>
  <c r="C19" i="33"/>
  <c r="A18" i="33"/>
  <c r="A19" i="52"/>
  <c r="C21" i="31" l="1"/>
  <c r="A20" i="31"/>
  <c r="C20" i="33"/>
  <c r="C21" i="33" s="1"/>
  <c r="C22" i="33" s="1"/>
  <c r="C23" i="33" s="1"/>
  <c r="A19" i="33"/>
  <c r="A20" i="52"/>
  <c r="C22" i="31" l="1"/>
  <c r="A21" i="31"/>
  <c r="A23" i="33"/>
  <c r="C24" i="33"/>
  <c r="A20" i="33"/>
  <c r="A21" i="52"/>
  <c r="A22" i="31" l="1"/>
  <c r="C23" i="31"/>
  <c r="C25" i="33"/>
  <c r="A24" i="33"/>
  <c r="A21" i="33"/>
  <c r="A22" i="52"/>
  <c r="A23" i="31" l="1"/>
  <c r="C24" i="31"/>
  <c r="A25" i="33"/>
  <c r="C26" i="33"/>
  <c r="A22" i="33"/>
  <c r="A23" i="52"/>
  <c r="C25" i="31" l="1"/>
  <c r="A24" i="31"/>
  <c r="C27" i="33"/>
  <c r="C28" i="33" s="1"/>
  <c r="A26" i="33"/>
  <c r="A24" i="52"/>
  <c r="C26" i="31" l="1"/>
  <c r="A25" i="31"/>
  <c r="A25" i="52"/>
  <c r="A26" i="31" l="1"/>
  <c r="C27" i="31"/>
  <c r="A27" i="31" l="1"/>
  <c r="C28" i="31"/>
  <c r="A27" i="33"/>
  <c r="C29" i="31" l="1"/>
  <c r="A28" i="31"/>
  <c r="C29" i="33"/>
  <c r="C30" i="31" l="1"/>
  <c r="A29" i="31"/>
  <c r="A28" i="33"/>
  <c r="C30" i="33"/>
  <c r="A29" i="33"/>
  <c r="A27" i="52"/>
  <c r="C31" i="31" l="1"/>
  <c r="A30" i="31"/>
  <c r="C31" i="33"/>
  <c r="A30" i="33"/>
  <c r="A28" i="52"/>
  <c r="A31" i="31" l="1"/>
  <c r="C32" i="31"/>
  <c r="C32" i="33"/>
  <c r="A31" i="33"/>
  <c r="A29" i="52"/>
  <c r="C33" i="31" l="1"/>
  <c r="A32" i="31"/>
  <c r="A32" i="33"/>
  <c r="C33" i="33"/>
  <c r="A30" i="52"/>
  <c r="A33" i="31" l="1"/>
  <c r="C34" i="31"/>
  <c r="C34" i="33"/>
  <c r="A33" i="33"/>
  <c r="A31" i="52"/>
  <c r="C35" i="31" l="1"/>
  <c r="A34" i="31"/>
  <c r="C35" i="33"/>
  <c r="A34" i="33"/>
  <c r="A32" i="52"/>
  <c r="A35" i="31" l="1"/>
  <c r="C36" i="31"/>
  <c r="C36" i="33"/>
  <c r="A35" i="33"/>
  <c r="A36" i="31" l="1"/>
  <c r="C37" i="31"/>
  <c r="C37" i="33"/>
  <c r="A36" i="33"/>
  <c r="A34" i="52"/>
  <c r="C38" i="31" l="1"/>
  <c r="A37" i="31"/>
  <c r="C38" i="33"/>
  <c r="A37" i="33"/>
  <c r="A35" i="52"/>
  <c r="C39" i="31" l="1"/>
  <c r="A38" i="31"/>
  <c r="A38" i="33"/>
  <c r="C39" i="33"/>
  <c r="A36" i="52"/>
  <c r="A39" i="31" l="1"/>
  <c r="C40" i="31"/>
  <c r="C40" i="33"/>
  <c r="A39" i="33"/>
  <c r="A37" i="52"/>
  <c r="A40" i="31" l="1"/>
  <c r="C41" i="31"/>
  <c r="C41" i="33"/>
  <c r="A40" i="33"/>
  <c r="A38" i="52"/>
  <c r="A41" i="31" l="1"/>
  <c r="C42" i="31"/>
  <c r="C42" i="33"/>
  <c r="A41" i="33"/>
  <c r="A39" i="52"/>
  <c r="A42" i="31" l="1"/>
  <c r="C43" i="31"/>
  <c r="A42" i="33"/>
  <c r="C43" i="33"/>
  <c r="A40" i="52"/>
  <c r="C44" i="31" l="1"/>
  <c r="A43" i="31"/>
  <c r="C44" i="33"/>
  <c r="A43" i="33"/>
  <c r="A41" i="52"/>
  <c r="C45" i="31" l="1"/>
  <c r="A44" i="31"/>
  <c r="C45" i="33"/>
  <c r="A44" i="33"/>
  <c r="A42" i="52"/>
  <c r="A45" i="31" l="1"/>
  <c r="C46" i="31"/>
  <c r="C46" i="33"/>
  <c r="A45" i="33"/>
  <c r="A43" i="52"/>
  <c r="A46" i="31" l="1"/>
  <c r="C47" i="31"/>
  <c r="C47" i="33"/>
  <c r="A46" i="33"/>
  <c r="A44" i="52"/>
  <c r="C48" i="31" l="1"/>
  <c r="A47" i="31"/>
  <c r="A47" i="33"/>
  <c r="C48" i="33"/>
  <c r="A45" i="52"/>
  <c r="C49" i="31" l="1"/>
  <c r="A48" i="31"/>
  <c r="C49" i="33"/>
  <c r="C50" i="33" s="1"/>
  <c r="C51" i="33" s="1"/>
  <c r="C52" i="33" s="1"/>
  <c r="A48" i="33"/>
  <c r="A46" i="52"/>
  <c r="C50" i="31" l="1"/>
  <c r="A49" i="31"/>
  <c r="C53" i="33"/>
  <c r="A52" i="33"/>
  <c r="A51" i="33"/>
  <c r="A49" i="33"/>
  <c r="A47" i="52"/>
  <c r="C51" i="31" l="1"/>
  <c r="A50" i="31"/>
  <c r="C54" i="33"/>
  <c r="A53" i="33"/>
  <c r="A50" i="33"/>
  <c r="A48" i="52"/>
  <c r="A51" i="31" l="1"/>
  <c r="C52" i="31"/>
  <c r="C55" i="33"/>
  <c r="A54" i="33"/>
  <c r="A49" i="52"/>
  <c r="A52" i="31" l="1"/>
  <c r="C53" i="31"/>
  <c r="C56" i="33"/>
  <c r="A55" i="33"/>
  <c r="A50" i="52"/>
  <c r="C54" i="31" l="1"/>
  <c r="A53" i="31"/>
  <c r="C57" i="33"/>
  <c r="A56" i="33"/>
  <c r="A51" i="52"/>
  <c r="A54" i="31" l="1"/>
  <c r="C55" i="31"/>
  <c r="C58" i="33"/>
  <c r="A57" i="33"/>
  <c r="A52" i="52"/>
  <c r="C56" i="31" l="1"/>
  <c r="A55" i="31"/>
  <c r="C59" i="33"/>
  <c r="A58" i="33"/>
  <c r="A53" i="52"/>
  <c r="A56" i="31" l="1"/>
  <c r="C57" i="31"/>
  <c r="A59" i="33"/>
  <c r="C60" i="33"/>
  <c r="A54" i="52"/>
  <c r="C58" i="31" l="1"/>
  <c r="A57" i="31"/>
  <c r="A60" i="33"/>
  <c r="C61" i="33"/>
  <c r="A55" i="52"/>
  <c r="C59" i="31" l="1"/>
  <c r="A58" i="31"/>
  <c r="A61" i="33"/>
  <c r="C62" i="33"/>
  <c r="A56" i="52"/>
  <c r="C60" i="31" l="1"/>
  <c r="A59" i="31"/>
  <c r="A62" i="33"/>
  <c r="C63" i="33"/>
  <c r="A57" i="52"/>
  <c r="C61" i="31" l="1"/>
  <c r="A60" i="31"/>
  <c r="A63" i="33"/>
  <c r="C64" i="33"/>
  <c r="A58" i="52"/>
  <c r="C62" i="31" l="1"/>
  <c r="A61" i="31"/>
  <c r="C65" i="33"/>
  <c r="A64" i="33"/>
  <c r="A59" i="52"/>
  <c r="A62" i="31" l="1"/>
  <c r="C63" i="31"/>
  <c r="A65" i="33"/>
  <c r="C66" i="33"/>
  <c r="A60" i="52"/>
  <c r="C64" i="31" l="1"/>
  <c r="A63" i="31"/>
  <c r="C67" i="33"/>
  <c r="A66" i="33"/>
  <c r="A61" i="52"/>
  <c r="A64" i="31" l="1"/>
  <c r="C65" i="31"/>
  <c r="A67" i="33"/>
  <c r="C68" i="33"/>
  <c r="A62" i="52"/>
  <c r="C66" i="31" l="1"/>
  <c r="A65" i="31"/>
  <c r="A68" i="33"/>
  <c r="C69" i="33"/>
  <c r="A63" i="52"/>
  <c r="C67" i="31" l="1"/>
  <c r="A66" i="31"/>
  <c r="A69" i="33"/>
  <c r="C70" i="33"/>
  <c r="A64" i="52"/>
  <c r="C68" i="31" l="1"/>
  <c r="A67" i="31"/>
  <c r="A70" i="33"/>
  <c r="C71" i="33"/>
  <c r="C72" i="33" s="1"/>
  <c r="C73" i="33" s="1"/>
  <c r="C74" i="33" s="1"/>
  <c r="C75" i="33" s="1"/>
  <c r="A65" i="52"/>
  <c r="C69" i="31" l="1"/>
  <c r="A68" i="31"/>
  <c r="C76" i="33"/>
  <c r="A75" i="33"/>
  <c r="A71" i="33"/>
  <c r="A66" i="52"/>
  <c r="A69" i="31" l="1"/>
  <c r="C70" i="31"/>
  <c r="C77" i="33"/>
  <c r="A76" i="33"/>
  <c r="A72" i="33"/>
  <c r="A68" i="52"/>
  <c r="C71" i="31" l="1"/>
  <c r="A70" i="31"/>
  <c r="C78" i="33"/>
  <c r="A77" i="33"/>
  <c r="A73" i="33"/>
  <c r="A69" i="52"/>
  <c r="C72" i="31" l="1"/>
  <c r="A71" i="31"/>
  <c r="A78" i="33"/>
  <c r="C79" i="33"/>
  <c r="A74" i="33"/>
  <c r="A70" i="52"/>
  <c r="C73" i="31" l="1"/>
  <c r="A72" i="31"/>
  <c r="C80" i="33"/>
  <c r="C81" i="33" s="1"/>
  <c r="C82" i="33" s="1"/>
  <c r="C83" i="33" s="1"/>
  <c r="A79" i="33"/>
  <c r="A71" i="52"/>
  <c r="A73" i="31" l="1"/>
  <c r="C74" i="31"/>
  <c r="A83" i="33"/>
  <c r="C84" i="33"/>
  <c r="A80" i="33"/>
  <c r="A72" i="52"/>
  <c r="C75" i="31" l="1"/>
  <c r="A74" i="31"/>
  <c r="C85" i="33"/>
  <c r="C86" i="33" s="1"/>
  <c r="C87" i="33" s="1"/>
  <c r="C88" i="33" s="1"/>
  <c r="C89" i="33" s="1"/>
  <c r="C90" i="33" s="1"/>
  <c r="C91" i="33" s="1"/>
  <c r="C92" i="33" s="1"/>
  <c r="A84" i="33"/>
  <c r="A81" i="33"/>
  <c r="A73" i="52"/>
  <c r="A75" i="31" l="1"/>
  <c r="C76" i="31"/>
  <c r="C93" i="33"/>
  <c r="A92" i="33"/>
  <c r="A90" i="33"/>
  <c r="A85" i="33"/>
  <c r="A82" i="33"/>
  <c r="A74" i="52"/>
  <c r="C77" i="31" l="1"/>
  <c r="A76" i="31"/>
  <c r="A93" i="33"/>
  <c r="C94" i="33"/>
  <c r="A91" i="33"/>
  <c r="A86" i="33"/>
  <c r="A75" i="52"/>
  <c r="C78" i="31" l="1"/>
  <c r="A77" i="31"/>
  <c r="C95" i="33"/>
  <c r="A94" i="33"/>
  <c r="A87" i="33"/>
  <c r="A76" i="52"/>
  <c r="A78" i="31" l="1"/>
  <c r="C79" i="31"/>
  <c r="C96" i="33"/>
  <c r="A95" i="33"/>
  <c r="A77" i="52"/>
  <c r="A79" i="31" l="1"/>
  <c r="C80" i="31"/>
  <c r="A96" i="33"/>
  <c r="C97" i="33"/>
  <c r="A78" i="52"/>
  <c r="C81" i="31" l="1"/>
  <c r="A80" i="31"/>
  <c r="A97" i="33"/>
  <c r="C98" i="33"/>
  <c r="A79" i="52"/>
  <c r="A81" i="31" l="1"/>
  <c r="C82" i="31"/>
  <c r="C99" i="33"/>
  <c r="A98" i="33"/>
  <c r="A80" i="52"/>
  <c r="C83" i="31" l="1"/>
  <c r="A82" i="31"/>
  <c r="C100" i="33"/>
  <c r="A99" i="33"/>
  <c r="A81" i="52"/>
  <c r="A83" i="31" l="1"/>
  <c r="C84" i="31"/>
  <c r="C101" i="33"/>
  <c r="A100" i="33"/>
  <c r="A82" i="52"/>
  <c r="A84" i="31" l="1"/>
  <c r="C85" i="31"/>
  <c r="C102" i="33"/>
  <c r="A101" i="33"/>
  <c r="A83" i="52"/>
  <c r="C86" i="31" l="1"/>
  <c r="A85" i="31"/>
  <c r="C103" i="33"/>
  <c r="A102" i="33"/>
  <c r="A84" i="52"/>
  <c r="C87" i="31" l="1"/>
  <c r="A86" i="31"/>
  <c r="C104" i="33"/>
  <c r="A103" i="33"/>
  <c r="A86" i="52"/>
  <c r="C88" i="31" l="1"/>
  <c r="A87" i="31"/>
  <c r="C105" i="33"/>
  <c r="A104" i="33"/>
  <c r="A87" i="52"/>
  <c r="A88" i="31" l="1"/>
  <c r="C89" i="31"/>
  <c r="C106" i="33"/>
  <c r="A105" i="33"/>
  <c r="A88" i="52"/>
  <c r="C90" i="31" l="1"/>
  <c r="A89" i="31"/>
  <c r="C107" i="33"/>
  <c r="A106" i="33"/>
  <c r="A89" i="52"/>
  <c r="C91" i="31" l="1"/>
  <c r="A90" i="31"/>
  <c r="C108" i="33"/>
  <c r="A107" i="33"/>
  <c r="A90" i="52"/>
  <c r="A91" i="31" l="1"/>
  <c r="C92" i="31"/>
  <c r="C109" i="33"/>
  <c r="A108" i="33"/>
  <c r="A91" i="52"/>
  <c r="C93" i="31" l="1"/>
  <c r="A92" i="31"/>
  <c r="C110" i="33"/>
  <c r="A109" i="33"/>
  <c r="A92" i="52"/>
  <c r="C94" i="31" l="1"/>
  <c r="A93" i="31"/>
  <c r="C111" i="33"/>
  <c r="A110" i="33"/>
  <c r="A93" i="52"/>
  <c r="C95" i="31" l="1"/>
  <c r="A94" i="31"/>
  <c r="C112" i="33"/>
  <c r="A111" i="33"/>
  <c r="A94" i="52"/>
  <c r="C96" i="31" l="1"/>
  <c r="A95" i="31"/>
  <c r="C113" i="33"/>
  <c r="A112" i="33"/>
  <c r="A95" i="52"/>
  <c r="A96" i="31" l="1"/>
  <c r="C97" i="31"/>
  <c r="C114" i="33"/>
  <c r="A113" i="33"/>
  <c r="A97" i="52"/>
  <c r="A97" i="31" l="1"/>
  <c r="C98" i="31"/>
  <c r="C115" i="33"/>
  <c r="A114" i="33"/>
  <c r="A98" i="52"/>
  <c r="C99" i="31" l="1"/>
  <c r="A98" i="31"/>
  <c r="A115" i="33"/>
  <c r="C116" i="33"/>
  <c r="A99" i="52"/>
  <c r="A99" i="31" l="1"/>
  <c r="C100" i="31"/>
  <c r="C117" i="33"/>
  <c r="A116" i="33"/>
  <c r="A100" i="52"/>
  <c r="A100" i="31" l="1"/>
  <c r="C101" i="31"/>
  <c r="A117" i="33"/>
  <c r="C118" i="33"/>
  <c r="A101" i="52"/>
  <c r="C102" i="31" l="1"/>
  <c r="A101" i="31"/>
  <c r="C119" i="33"/>
  <c r="A118" i="33"/>
  <c r="C103" i="31" l="1"/>
  <c r="A102" i="31"/>
  <c r="C120" i="33"/>
  <c r="A119" i="33"/>
  <c r="A104" i="52"/>
  <c r="C104" i="31" l="1"/>
  <c r="A103" i="31"/>
  <c r="C121" i="33"/>
  <c r="A120" i="33"/>
  <c r="A105" i="52"/>
  <c r="A104" i="31" l="1"/>
  <c r="C105" i="31"/>
  <c r="C122" i="33"/>
  <c r="A122" i="33" s="1"/>
  <c r="A121" i="33"/>
  <c r="C106" i="31" l="1"/>
  <c r="A105" i="31"/>
  <c r="C123" i="33"/>
  <c r="C124" i="33" s="1"/>
  <c r="A123" i="33"/>
  <c r="A106" i="52"/>
  <c r="C107" i="31" l="1"/>
  <c r="A106" i="31"/>
  <c r="A124" i="33"/>
  <c r="C125" i="33"/>
  <c r="A107" i="31" l="1"/>
  <c r="C108" i="31"/>
  <c r="C126" i="33"/>
  <c r="A125" i="33"/>
  <c r="A107" i="52"/>
  <c r="C109" i="31" l="1"/>
  <c r="A108" i="31"/>
  <c r="A126" i="33"/>
  <c r="C127" i="33"/>
  <c r="A108" i="52"/>
  <c r="C110" i="31" l="1"/>
  <c r="A109" i="31"/>
  <c r="C128" i="33"/>
  <c r="A127" i="33"/>
  <c r="A109" i="52"/>
  <c r="C111" i="31" l="1"/>
  <c r="A110" i="31"/>
  <c r="A128" i="33"/>
  <c r="C129" i="33"/>
  <c r="A110" i="52"/>
  <c r="C112" i="31" l="1"/>
  <c r="A111" i="31"/>
  <c r="C130" i="33"/>
  <c r="A129" i="33"/>
  <c r="A111" i="52"/>
  <c r="C113" i="31" l="1"/>
  <c r="A112" i="31"/>
  <c r="A130" i="33"/>
  <c r="C131" i="33"/>
  <c r="A112" i="52"/>
  <c r="A113" i="31" l="1"/>
  <c r="C114" i="31"/>
  <c r="C132" i="33"/>
  <c r="A131" i="33"/>
  <c r="A113" i="52"/>
  <c r="C115" i="31" l="1"/>
  <c r="A114" i="31"/>
  <c r="C133" i="33"/>
  <c r="A132" i="33"/>
  <c r="A114" i="52"/>
  <c r="C116" i="31" l="1"/>
  <c r="A115" i="31"/>
  <c r="A133" i="33"/>
  <c r="C134" i="33"/>
  <c r="A115" i="52"/>
  <c r="A116" i="31" l="1"/>
  <c r="C117" i="31"/>
  <c r="C135" i="33"/>
  <c r="A134" i="33"/>
  <c r="A116" i="52"/>
  <c r="C118" i="31" l="1"/>
  <c r="A117" i="31"/>
  <c r="A135" i="33"/>
  <c r="C136" i="33"/>
  <c r="A117" i="52"/>
  <c r="C119" i="31" l="1"/>
  <c r="A118" i="31"/>
  <c r="A136" i="33"/>
  <c r="C137" i="33"/>
  <c r="A118" i="52"/>
  <c r="C120" i="31" l="1"/>
  <c r="A119" i="31"/>
  <c r="A137" i="33"/>
  <c r="C138" i="33"/>
  <c r="A119" i="52"/>
  <c r="C121" i="31" l="1"/>
  <c r="A120" i="31"/>
  <c r="A138" i="33"/>
  <c r="C139" i="33"/>
  <c r="A120" i="52"/>
  <c r="C122" i="31" l="1"/>
  <c r="A121" i="31"/>
  <c r="A139" i="33"/>
  <c r="C140" i="33"/>
  <c r="C141" i="33" s="1"/>
  <c r="C142" i="33" s="1"/>
  <c r="A121" i="52"/>
  <c r="A122" i="31" l="1"/>
  <c r="C123" i="31"/>
  <c r="A140" i="33"/>
  <c r="A122" i="52"/>
  <c r="C124" i="31" l="1"/>
  <c r="A123" i="31"/>
  <c r="A141" i="33"/>
  <c r="A123" i="52"/>
  <c r="C125" i="31" l="1"/>
  <c r="A124" i="31"/>
  <c r="C143" i="33"/>
  <c r="A142" i="33"/>
  <c r="A124" i="52"/>
  <c r="C126" i="31" l="1"/>
  <c r="A125" i="31"/>
  <c r="C144" i="33"/>
  <c r="A144" i="33" s="1"/>
  <c r="A143" i="33"/>
  <c r="A125" i="52"/>
  <c r="A126" i="31" l="1"/>
  <c r="C127" i="31"/>
  <c r="C145" i="33"/>
  <c r="A145" i="33" s="1"/>
  <c r="A126" i="52"/>
  <c r="A127" i="31" l="1"/>
  <c r="C128" i="31"/>
  <c r="C146" i="33"/>
  <c r="A127" i="52"/>
  <c r="A128" i="31" l="1"/>
  <c r="C129" i="31"/>
  <c r="C147" i="33"/>
  <c r="A146" i="33"/>
  <c r="A128" i="52"/>
  <c r="C130" i="31" l="1"/>
  <c r="A129" i="31"/>
  <c r="A147" i="33"/>
  <c r="C148" i="33"/>
  <c r="A129" i="52"/>
  <c r="C131" i="31" l="1"/>
  <c r="A130" i="31"/>
  <c r="C149" i="33"/>
  <c r="A148" i="33"/>
  <c r="A130" i="52"/>
  <c r="C132" i="31" l="1"/>
  <c r="A131" i="31"/>
  <c r="C150" i="33"/>
  <c r="A149" i="33"/>
  <c r="A131" i="52"/>
  <c r="C133" i="31" l="1"/>
  <c r="A132" i="31"/>
  <c r="A150" i="33"/>
  <c r="C151" i="33"/>
  <c r="A132" i="52"/>
  <c r="A133" i="31" l="1"/>
  <c r="C134" i="31"/>
  <c r="C152" i="33"/>
  <c r="A151" i="33"/>
  <c r="A133" i="52"/>
  <c r="C135" i="31" l="1"/>
  <c r="A134" i="31"/>
  <c r="A152" i="33"/>
  <c r="C153" i="33"/>
  <c r="A135" i="31" l="1"/>
  <c r="C136" i="31"/>
  <c r="C154" i="33"/>
  <c r="A153" i="33"/>
  <c r="C137" i="31" l="1"/>
  <c r="A136" i="31"/>
  <c r="A154" i="33"/>
  <c r="C155" i="33"/>
  <c r="C138" i="31" l="1"/>
  <c r="A137" i="31"/>
  <c r="C156" i="33"/>
  <c r="A155" i="33"/>
  <c r="A138" i="31" l="1"/>
  <c r="C139" i="31"/>
  <c r="A156" i="33"/>
  <c r="C157" i="33"/>
  <c r="C41" i="48" l="1"/>
  <c r="C16" i="48"/>
  <c r="C82" i="48"/>
  <c r="C101" i="48"/>
  <c r="C76" i="48"/>
  <c r="C51" i="48"/>
  <c r="C70" i="48"/>
  <c r="C120" i="48"/>
  <c r="C95" i="48"/>
  <c r="C106" i="48"/>
  <c r="C29" i="48"/>
  <c r="C34" i="48"/>
  <c r="C42" i="48"/>
  <c r="C94" i="48"/>
  <c r="C78" i="48"/>
  <c r="C44" i="48"/>
  <c r="C113" i="48"/>
  <c r="C63" i="48"/>
  <c r="C107" i="48"/>
  <c r="C53" i="48"/>
  <c r="C130" i="48"/>
  <c r="C72" i="48"/>
  <c r="C91" i="48"/>
  <c r="C137" i="48"/>
  <c r="C12" i="48"/>
  <c r="C26" i="48"/>
  <c r="C71" i="48"/>
  <c r="C124" i="48"/>
  <c r="C50" i="48"/>
  <c r="C92" i="48"/>
  <c r="C25" i="48"/>
  <c r="C135" i="48"/>
  <c r="C18" i="48"/>
  <c r="C85" i="48"/>
  <c r="C60" i="48"/>
  <c r="C35" i="48"/>
  <c r="C129" i="48"/>
  <c r="C104" i="48"/>
  <c r="C79" i="48"/>
  <c r="C13" i="48"/>
  <c r="C123" i="48"/>
  <c r="C9" i="48"/>
  <c r="C69" i="48"/>
  <c r="C19" i="48"/>
  <c r="C88" i="48"/>
  <c r="C118" i="48"/>
  <c r="C30" i="48"/>
  <c r="C128" i="48"/>
  <c r="C14" i="48"/>
  <c r="C97" i="48"/>
  <c r="C47" i="48"/>
  <c r="C90" i="48"/>
  <c r="C112" i="48"/>
  <c r="C37" i="48"/>
  <c r="C31" i="48"/>
  <c r="C121" i="48"/>
  <c r="C99" i="48"/>
  <c r="C8" i="48"/>
  <c r="C119" i="48"/>
  <c r="C132" i="48"/>
  <c r="C116" i="48"/>
  <c r="C74" i="48"/>
  <c r="C125" i="48"/>
  <c r="C21" i="48"/>
  <c r="C40" i="48"/>
  <c r="C84" i="48"/>
  <c r="C105" i="48"/>
  <c r="C62" i="48"/>
  <c r="C93" i="48"/>
  <c r="C64" i="48"/>
  <c r="C77" i="48"/>
  <c r="C73" i="48"/>
  <c r="C58" i="48"/>
  <c r="C61" i="48"/>
  <c r="C117" i="48"/>
  <c r="C134" i="48"/>
  <c r="C45" i="48"/>
  <c r="C103" i="48"/>
  <c r="C28" i="48"/>
  <c r="C54" i="48"/>
  <c r="C66" i="48"/>
  <c r="C81" i="48"/>
  <c r="C100" i="48"/>
  <c r="C10" i="48"/>
  <c r="C65" i="48"/>
  <c r="C109" i="48"/>
  <c r="C102" i="48"/>
  <c r="C55" i="48"/>
  <c r="C24" i="48"/>
  <c r="C68" i="48"/>
  <c r="C89" i="48"/>
  <c r="C52" i="48"/>
  <c r="C48" i="48"/>
  <c r="C108" i="48"/>
  <c r="C127" i="48"/>
  <c r="C11" i="48"/>
  <c r="C7" i="48"/>
  <c r="C136" i="48"/>
  <c r="C20" i="48"/>
  <c r="C87" i="48"/>
  <c r="C56" i="48"/>
  <c r="C75" i="48"/>
  <c r="C131" i="48"/>
  <c r="C126" i="48"/>
  <c r="C15" i="48"/>
  <c r="C59" i="48"/>
  <c r="C80" i="48"/>
  <c r="C86" i="48"/>
  <c r="C49" i="48"/>
  <c r="C114" i="48"/>
  <c r="C38" i="48"/>
  <c r="C39" i="48"/>
  <c r="C33" i="48"/>
  <c r="C6" i="48"/>
  <c r="C133" i="48"/>
  <c r="C17" i="48"/>
  <c r="C36" i="48"/>
  <c r="C57" i="48"/>
  <c r="C67" i="48"/>
  <c r="C46" i="48"/>
  <c r="C96" i="48"/>
  <c r="C115" i="48"/>
  <c r="C43" i="48"/>
  <c r="C22" i="48"/>
  <c r="C122" i="48"/>
  <c r="C27" i="48"/>
  <c r="C23" i="48"/>
  <c r="C83" i="48"/>
  <c r="C110" i="48"/>
  <c r="C32" i="48"/>
  <c r="C111" i="48"/>
  <c r="C98" i="48"/>
  <c r="C140" i="31"/>
  <c r="A139" i="31"/>
  <c r="C138" i="48" s="1"/>
  <c r="C158" i="33"/>
  <c r="A157" i="33"/>
  <c r="A140" i="31" l="1"/>
  <c r="C141" i="31"/>
  <c r="C159" i="33"/>
  <c r="A158" i="33"/>
  <c r="C142" i="31" l="1"/>
  <c r="A141" i="31"/>
  <c r="A159" i="33"/>
  <c r="C160" i="33"/>
  <c r="C143" i="31" l="1"/>
  <c r="A142" i="31"/>
  <c r="C161" i="33"/>
  <c r="A160" i="33"/>
  <c r="C144" i="31" l="1"/>
  <c r="A143" i="31"/>
  <c r="C162" i="33"/>
  <c r="A161" i="33"/>
  <c r="C145" i="31" l="1"/>
  <c r="A144" i="31"/>
  <c r="A162" i="33"/>
  <c r="C163" i="33"/>
  <c r="C146" i="31" l="1"/>
  <c r="A145" i="31"/>
  <c r="A163" i="33"/>
  <c r="C164" i="33"/>
  <c r="A146" i="31" l="1"/>
  <c r="C147" i="31"/>
  <c r="A164" i="33"/>
  <c r="C165" i="33"/>
  <c r="C148" i="31" l="1"/>
  <c r="A147" i="31"/>
  <c r="A165" i="33"/>
  <c r="C166" i="33"/>
  <c r="A148" i="31" l="1"/>
  <c r="C149" i="31"/>
  <c r="C167" i="33"/>
  <c r="A166" i="33"/>
  <c r="C150" i="31" l="1"/>
  <c r="A149" i="31"/>
  <c r="C168" i="33"/>
  <c r="A167" i="33"/>
  <c r="C151" i="31" l="1"/>
  <c r="A150" i="31"/>
  <c r="C169" i="33"/>
  <c r="A168" i="33"/>
  <c r="C152" i="31" l="1"/>
  <c r="A151" i="31"/>
  <c r="C170" i="33"/>
  <c r="A169" i="33"/>
  <c r="A152" i="31" l="1"/>
  <c r="C153" i="31"/>
  <c r="A170" i="33"/>
  <c r="C171" i="33"/>
  <c r="C154" i="31" l="1"/>
  <c r="A153" i="31"/>
  <c r="C172" i="33"/>
  <c r="A171" i="33"/>
  <c r="C155" i="31" l="1"/>
  <c r="A154" i="31"/>
  <c r="C173" i="33"/>
  <c r="A172" i="33"/>
  <c r="A155" i="31" l="1"/>
  <c r="C156" i="31"/>
  <c r="A173" i="33"/>
  <c r="C174" i="33"/>
  <c r="C157" i="31" l="1"/>
  <c r="A156" i="31"/>
  <c r="A174" i="33"/>
  <c r="C175" i="33"/>
  <c r="C158" i="31" l="1"/>
  <c r="A157" i="31"/>
  <c r="C176" i="33"/>
  <c r="A175" i="33"/>
  <c r="A134" i="52"/>
  <c r="B13" i="19"/>
  <c r="D27" i="24"/>
  <c r="A158" i="31" l="1"/>
  <c r="C159" i="31"/>
  <c r="A176" i="33"/>
  <c r="C177" i="33"/>
  <c r="B134" i="52"/>
  <c r="B4" i="52"/>
  <c r="B16" i="52"/>
  <c r="B32" i="52"/>
  <c r="B63" i="52"/>
  <c r="B64" i="52"/>
  <c r="B65" i="52"/>
  <c r="B66" i="52"/>
  <c r="B68" i="52"/>
  <c r="B69" i="52"/>
  <c r="B70" i="52"/>
  <c r="B71" i="52"/>
  <c r="B72" i="52"/>
  <c r="B73" i="52"/>
  <c r="B74" i="52"/>
  <c r="B75" i="52"/>
  <c r="B76" i="52"/>
  <c r="B77" i="52"/>
  <c r="B78" i="52"/>
  <c r="B79" i="52"/>
  <c r="B80" i="52"/>
  <c r="B81" i="52"/>
  <c r="B82" i="52"/>
  <c r="B83" i="52"/>
  <c r="B84" i="52"/>
  <c r="B86" i="52"/>
  <c r="B87" i="52"/>
  <c r="B88" i="52"/>
  <c r="B89" i="52"/>
  <c r="B90" i="52"/>
  <c r="B91" i="52"/>
  <c r="B92" i="52"/>
  <c r="B93" i="52"/>
  <c r="B94" i="52"/>
  <c r="B95" i="52"/>
  <c r="B97" i="52"/>
  <c r="B98" i="52"/>
  <c r="B99" i="52"/>
  <c r="B100" i="52"/>
  <c r="B101" i="52"/>
  <c r="B103" i="52"/>
  <c r="B104" i="52"/>
  <c r="B105" i="52"/>
  <c r="B106" i="52"/>
  <c r="B107" i="52"/>
  <c r="B108" i="52"/>
  <c r="B109" i="52"/>
  <c r="B110" i="52"/>
  <c r="B111" i="52"/>
  <c r="B112" i="52"/>
  <c r="B113" i="52"/>
  <c r="B114" i="52"/>
  <c r="B115" i="52"/>
  <c r="B116" i="52"/>
  <c r="B117" i="52"/>
  <c r="B118" i="52"/>
  <c r="B119" i="52"/>
  <c r="B120" i="52"/>
  <c r="B121" i="52"/>
  <c r="B122" i="52"/>
  <c r="B123" i="52"/>
  <c r="B124" i="52"/>
  <c r="B125" i="52"/>
  <c r="B126" i="52"/>
  <c r="B127" i="52"/>
  <c r="B128" i="52"/>
  <c r="B129" i="52"/>
  <c r="B130" i="52"/>
  <c r="B131" i="52"/>
  <c r="B132" i="52"/>
  <c r="B133" i="52"/>
  <c r="B7" i="19"/>
  <c r="D13" i="3"/>
  <c r="B4" i="19"/>
  <c r="F24" i="19" s="1"/>
  <c r="D9" i="40"/>
  <c r="D33" i="4"/>
  <c r="B8" i="19"/>
  <c r="B24" i="31" l="1"/>
  <c r="B64" i="31"/>
  <c r="B105" i="31"/>
  <c r="B145" i="31"/>
  <c r="B21" i="31"/>
  <c r="B61" i="31"/>
  <c r="B102" i="31"/>
  <c r="B150" i="31"/>
  <c r="B38" i="31"/>
  <c r="B78" i="31"/>
  <c r="B119" i="31"/>
  <c r="B5" i="31"/>
  <c r="C5" i="48" s="1"/>
  <c r="B43" i="31"/>
  <c r="B83" i="31"/>
  <c r="B124" i="31"/>
  <c r="B76" i="31"/>
  <c r="B117" i="31"/>
  <c r="B73" i="31"/>
  <c r="B90" i="31"/>
  <c r="B95" i="31"/>
  <c r="B118" i="31"/>
  <c r="B135" i="31"/>
  <c r="B98" i="31"/>
  <c r="B144" i="31"/>
  <c r="B62" i="31"/>
  <c r="B108" i="31"/>
  <c r="B6" i="31"/>
  <c r="B155" i="31"/>
  <c r="B93" i="31"/>
  <c r="B75" i="31"/>
  <c r="B60" i="31"/>
  <c r="B115" i="31"/>
  <c r="B28" i="31"/>
  <c r="B68" i="31"/>
  <c r="B109" i="31"/>
  <c r="B149" i="31"/>
  <c r="B25" i="31"/>
  <c r="B65" i="31"/>
  <c r="B106" i="31"/>
  <c r="C160" i="31"/>
  <c r="B42" i="31"/>
  <c r="B82" i="31"/>
  <c r="B123" i="31"/>
  <c r="A159" i="31"/>
  <c r="B47" i="31"/>
  <c r="B87" i="31"/>
  <c r="B128" i="31"/>
  <c r="B132" i="31"/>
  <c r="B33" i="31"/>
  <c r="B8" i="31"/>
  <c r="B131" i="31"/>
  <c r="B55" i="31"/>
  <c r="B94" i="31"/>
  <c r="B59" i="31"/>
  <c r="B139" i="31"/>
  <c r="B104" i="31"/>
  <c r="B103" i="31"/>
  <c r="B148" i="31"/>
  <c r="B130" i="31"/>
  <c r="B107" i="31"/>
  <c r="B137" i="31"/>
  <c r="B151" i="31"/>
  <c r="B20" i="31"/>
  <c r="B39" i="31"/>
  <c r="B32" i="31"/>
  <c r="B72" i="31"/>
  <c r="B113" i="31"/>
  <c r="B153" i="31"/>
  <c r="B29" i="31"/>
  <c r="B69" i="31"/>
  <c r="B110" i="31"/>
  <c r="B11" i="31"/>
  <c r="B46" i="31"/>
  <c r="B86" i="31"/>
  <c r="B127" i="31"/>
  <c r="B10" i="31"/>
  <c r="B51" i="31"/>
  <c r="B91" i="31"/>
  <c r="B157" i="31"/>
  <c r="B36" i="31"/>
  <c r="B134" i="31"/>
  <c r="B114" i="31"/>
  <c r="B50" i="31"/>
  <c r="B15" i="31"/>
  <c r="B136" i="31"/>
  <c r="B54" i="31"/>
  <c r="B19" i="31"/>
  <c r="B140" i="31"/>
  <c r="B63" i="31"/>
  <c r="B22" i="31"/>
  <c r="B92" i="31"/>
  <c r="B13" i="31"/>
  <c r="B111" i="31"/>
  <c r="B156" i="31"/>
  <c r="B57" i="31"/>
  <c r="B79" i="31"/>
  <c r="B35" i="31"/>
  <c r="B97" i="31"/>
  <c r="B120" i="31"/>
  <c r="B40" i="31"/>
  <c r="B80" i="31"/>
  <c r="B121" i="31"/>
  <c r="B146" i="31"/>
  <c r="B37" i="31"/>
  <c r="B77" i="31"/>
  <c r="B14" i="31"/>
  <c r="B99" i="31"/>
  <c r="B67" i="31"/>
  <c r="B49" i="31"/>
  <c r="B66" i="31"/>
  <c r="B112" i="31"/>
  <c r="B56" i="31"/>
  <c r="B70" i="31"/>
  <c r="B100" i="31"/>
  <c r="B152" i="31"/>
  <c r="B7" i="31"/>
  <c r="B44" i="31"/>
  <c r="B84" i="31"/>
  <c r="B125" i="31"/>
  <c r="B154" i="31"/>
  <c r="B41" i="31"/>
  <c r="B81" i="31"/>
  <c r="B122" i="31"/>
  <c r="B18" i="31"/>
  <c r="B58" i="31"/>
  <c r="B23" i="31"/>
  <c r="B27" i="31"/>
  <c r="B133" i="31"/>
  <c r="B147" i="31"/>
  <c r="B96" i="31"/>
  <c r="B30" i="31"/>
  <c r="B17" i="31"/>
  <c r="B74" i="31"/>
  <c r="B4" i="31"/>
  <c r="B48" i="31"/>
  <c r="B88" i="31"/>
  <c r="B129" i="31"/>
  <c r="B9" i="31"/>
  <c r="B45" i="31"/>
  <c r="B85" i="31"/>
  <c r="B126" i="31"/>
  <c r="B143" i="31"/>
  <c r="B26" i="31"/>
  <c r="B31" i="31"/>
  <c r="B16" i="31"/>
  <c r="B138" i="31"/>
  <c r="B141" i="31"/>
  <c r="B34" i="31"/>
  <c r="B12" i="31"/>
  <c r="B52" i="31"/>
  <c r="B89" i="31"/>
  <c r="B71" i="31"/>
  <c r="B53" i="31"/>
  <c r="B116" i="31"/>
  <c r="B142" i="31"/>
  <c r="B158" i="31"/>
  <c r="A177" i="33"/>
  <c r="C178" i="33"/>
  <c r="A135" i="52"/>
  <c r="C4" i="48" l="1"/>
  <c r="B7" i="53"/>
  <c r="J7" i="53"/>
  <c r="B8" i="53"/>
  <c r="J8" i="53"/>
  <c r="B9" i="53"/>
  <c r="J9" i="53"/>
  <c r="B10" i="53"/>
  <c r="J10" i="53"/>
  <c r="B9" i="19"/>
  <c r="D35" i="20"/>
  <c r="C161" i="31"/>
  <c r="A160" i="31"/>
  <c r="B10" i="19"/>
  <c r="D12" i="30"/>
  <c r="B12" i="19"/>
  <c r="D22" i="23"/>
  <c r="B159" i="31"/>
  <c r="D31" i="21"/>
  <c r="B11" i="19"/>
  <c r="C179" i="33"/>
  <c r="A178" i="33"/>
  <c r="A136" i="52"/>
  <c r="A161" i="31" l="1"/>
  <c r="C162" i="31"/>
  <c r="C180" i="33"/>
  <c r="A179" i="33"/>
  <c r="A137" i="52"/>
  <c r="A162" i="31" l="1"/>
  <c r="C163" i="31"/>
  <c r="A180" i="33"/>
  <c r="C181" i="33"/>
  <c r="A138" i="52"/>
  <c r="A163" i="31" l="1"/>
  <c r="C164" i="31"/>
  <c r="A181" i="33"/>
  <c r="C182" i="33"/>
  <c r="A139" i="52"/>
  <c r="A164" i="31" l="1"/>
  <c r="C165" i="31"/>
  <c r="A182" i="33"/>
  <c r="C183" i="33"/>
  <c r="A140" i="52"/>
  <c r="A165" i="31" l="1"/>
  <c r="C166" i="31"/>
  <c r="C184" i="33"/>
  <c r="A183" i="33"/>
  <c r="A141" i="52"/>
  <c r="A166" i="31" l="1"/>
  <c r="C167" i="31"/>
  <c r="C185" i="33"/>
  <c r="A184" i="33"/>
  <c r="A142" i="52"/>
  <c r="C168" i="31" l="1"/>
  <c r="A167" i="31"/>
  <c r="A185" i="33"/>
  <c r="C186" i="33"/>
  <c r="A143" i="52"/>
  <c r="C169" i="31" l="1"/>
  <c r="A168" i="31"/>
  <c r="A186" i="33"/>
  <c r="C187" i="33"/>
  <c r="A144" i="52"/>
  <c r="A169" i="31" l="1"/>
  <c r="C170" i="31"/>
  <c r="C188" i="33"/>
  <c r="A187" i="33"/>
  <c r="A145" i="52"/>
  <c r="C171" i="31" l="1"/>
  <c r="A170" i="31"/>
  <c r="C189" i="33"/>
  <c r="A188" i="33"/>
  <c r="A146" i="52"/>
  <c r="C172" i="31" l="1"/>
  <c r="A171" i="31"/>
  <c r="C190" i="33"/>
  <c r="A189" i="33"/>
  <c r="A147" i="52"/>
  <c r="C173" i="31" l="1"/>
  <c r="A172" i="31"/>
  <c r="C191" i="33"/>
  <c r="A190" i="33"/>
  <c r="A148" i="52"/>
  <c r="C174" i="31" l="1"/>
  <c r="A173" i="31"/>
  <c r="C192" i="33"/>
  <c r="A191" i="33"/>
  <c r="A149" i="52"/>
  <c r="C175" i="31" l="1"/>
  <c r="A174" i="31"/>
  <c r="A192" i="33"/>
  <c r="C193" i="33"/>
  <c r="A150" i="52"/>
  <c r="C176" i="31" l="1"/>
  <c r="A175" i="31"/>
  <c r="C194" i="33"/>
  <c r="A193" i="33"/>
  <c r="A151" i="52"/>
  <c r="C177" i="31" l="1"/>
  <c r="A176" i="31"/>
  <c r="C195" i="33"/>
  <c r="A194" i="33"/>
  <c r="A152" i="52"/>
  <c r="A177" i="31" l="1"/>
  <c r="C178" i="31"/>
  <c r="A195" i="33"/>
  <c r="C196" i="33"/>
  <c r="A153" i="52"/>
  <c r="A178" i="31" l="1"/>
  <c r="C179" i="31"/>
  <c r="C197" i="33"/>
  <c r="C198" i="33" s="1"/>
  <c r="C199" i="33" s="1"/>
  <c r="A196" i="33"/>
  <c r="C180" i="31" l="1"/>
  <c r="A179" i="31"/>
  <c r="C200" i="33"/>
  <c r="A199" i="33"/>
  <c r="A197" i="33"/>
  <c r="A180" i="31" l="1"/>
  <c r="C181" i="31"/>
  <c r="C201" i="33"/>
  <c r="C202" i="33" s="1"/>
  <c r="A200" i="33"/>
  <c r="A198" i="33"/>
  <c r="A162" i="52"/>
  <c r="C182" i="31" l="1"/>
  <c r="A181" i="31"/>
  <c r="C203" i="33"/>
  <c r="A202" i="33"/>
  <c r="A201" i="33"/>
  <c r="A163" i="52"/>
  <c r="C183" i="31" l="1"/>
  <c r="A182" i="31"/>
  <c r="C204" i="33"/>
  <c r="C205" i="33" s="1"/>
  <c r="C206" i="33" s="1"/>
  <c r="A203" i="33"/>
  <c r="A164" i="52"/>
  <c r="C184" i="31" l="1"/>
  <c r="A183" i="31"/>
  <c r="C207" i="33"/>
  <c r="A206" i="33"/>
  <c r="A204" i="33"/>
  <c r="A165" i="52"/>
  <c r="C185" i="31" l="1"/>
  <c r="A184" i="31"/>
  <c r="C208" i="33"/>
  <c r="C209" i="33" s="1"/>
  <c r="C210" i="33" s="1"/>
  <c r="C211" i="33" s="1"/>
  <c r="A211" i="33" s="1"/>
  <c r="A207" i="33"/>
  <c r="A205" i="33"/>
  <c r="A166" i="52"/>
  <c r="A185" i="31" l="1"/>
  <c r="C186" i="31"/>
  <c r="A208" i="33"/>
  <c r="A167" i="52"/>
  <c r="A186" i="31" l="1"/>
  <c r="C187" i="31"/>
  <c r="A209" i="33"/>
  <c r="A168" i="52"/>
  <c r="C188" i="31" l="1"/>
  <c r="A187" i="31"/>
  <c r="A210" i="33"/>
  <c r="C189" i="31" l="1"/>
  <c r="A188" i="31"/>
  <c r="A170" i="52"/>
  <c r="C190" i="31" l="1"/>
  <c r="A189" i="31"/>
  <c r="A171" i="52"/>
  <c r="C191" i="31" l="1"/>
  <c r="A190" i="31"/>
  <c r="A172" i="52"/>
  <c r="C192" i="31" l="1"/>
  <c r="A191" i="31"/>
  <c r="A173" i="52"/>
  <c r="C193" i="31" l="1"/>
  <c r="A192" i="31"/>
  <c r="A174" i="52"/>
  <c r="C194" i="31" l="1"/>
  <c r="A193" i="31"/>
  <c r="A175" i="52"/>
  <c r="C195" i="31" l="1"/>
  <c r="A194" i="31"/>
  <c r="A176" i="52"/>
  <c r="C196" i="31" l="1"/>
  <c r="A195" i="31"/>
  <c r="A177" i="52"/>
  <c r="A196" i="31" l="1"/>
  <c r="C197" i="31"/>
  <c r="C212" i="33"/>
  <c r="A212" i="33" s="1"/>
  <c r="A178" i="52"/>
  <c r="A197" i="31" l="1"/>
  <c r="C198" i="31"/>
  <c r="C213" i="33"/>
  <c r="A179" i="52"/>
  <c r="C199" i="31" l="1"/>
  <c r="A198" i="31"/>
  <c r="A213" i="33"/>
  <c r="C214" i="33"/>
  <c r="A180" i="52"/>
  <c r="C200" i="31" l="1"/>
  <c r="A199" i="31"/>
  <c r="C215" i="33"/>
  <c r="A214" i="33"/>
  <c r="A181" i="52"/>
  <c r="A200" i="31" l="1"/>
  <c r="C201" i="31"/>
  <c r="C216" i="33"/>
  <c r="A215" i="33"/>
  <c r="A182" i="52"/>
  <c r="C202" i="31" l="1"/>
  <c r="A201" i="31"/>
  <c r="A216" i="33"/>
  <c r="C217" i="33"/>
  <c r="A183" i="52"/>
  <c r="C203" i="31" l="1"/>
  <c r="A202" i="31"/>
  <c r="C218" i="33"/>
  <c r="A217" i="33"/>
  <c r="A88" i="33"/>
  <c r="A184" i="52"/>
  <c r="C204" i="31" l="1"/>
  <c r="A203" i="31"/>
  <c r="C219" i="33"/>
  <c r="A218" i="33"/>
  <c r="A89" i="33"/>
  <c r="A187" i="52"/>
  <c r="A204" i="31" l="1"/>
  <c r="C205" i="31"/>
  <c r="C220" i="33"/>
  <c r="A219" i="33"/>
  <c r="A188" i="52"/>
  <c r="C206" i="31" l="1"/>
  <c r="A205" i="31"/>
  <c r="A220" i="33"/>
  <c r="C221" i="33"/>
  <c r="A206" i="31" l="1"/>
  <c r="C207" i="31"/>
  <c r="A221" i="33"/>
  <c r="C222" i="33"/>
  <c r="C173" i="48" l="1"/>
  <c r="C163" i="48"/>
  <c r="C172" i="48"/>
  <c r="C191" i="48"/>
  <c r="C151" i="48"/>
  <c r="C189" i="48"/>
  <c r="C195" i="48"/>
  <c r="C188" i="48"/>
  <c r="C179" i="48"/>
  <c r="C187" i="48"/>
  <c r="C194" i="48"/>
  <c r="C196" i="48"/>
  <c r="C204" i="48"/>
  <c r="C203" i="48"/>
  <c r="C165" i="48"/>
  <c r="C178" i="48"/>
  <c r="C166" i="48"/>
  <c r="C147" i="48"/>
  <c r="C140" i="48"/>
  <c r="C139" i="48"/>
  <c r="C145" i="48"/>
  <c r="C201" i="48"/>
  <c r="C152" i="48"/>
  <c r="C198" i="48"/>
  <c r="C155" i="48"/>
  <c r="C161" i="48"/>
  <c r="C150" i="48"/>
  <c r="C144" i="48"/>
  <c r="C183" i="48"/>
  <c r="C205" i="48"/>
  <c r="C164" i="48"/>
  <c r="C202" i="48"/>
  <c r="C160" i="48"/>
  <c r="C168" i="48"/>
  <c r="C143" i="48"/>
  <c r="C149" i="48"/>
  <c r="C141" i="48"/>
  <c r="C177" i="48"/>
  <c r="C200" i="48"/>
  <c r="C159" i="48"/>
  <c r="C174" i="48"/>
  <c r="C154" i="48"/>
  <c r="C170" i="48"/>
  <c r="C156" i="48"/>
  <c r="C176" i="48"/>
  <c r="C162" i="48"/>
  <c r="C142" i="48"/>
  <c r="C148" i="48"/>
  <c r="C184" i="48"/>
  <c r="C182" i="48"/>
  <c r="C171" i="48"/>
  <c r="C175" i="48"/>
  <c r="C180" i="48"/>
  <c r="C153" i="48"/>
  <c r="C158" i="48"/>
  <c r="C186" i="48"/>
  <c r="C193" i="48"/>
  <c r="C190" i="48"/>
  <c r="C185" i="48"/>
  <c r="C146" i="48"/>
  <c r="C167" i="48"/>
  <c r="C181" i="48"/>
  <c r="C157" i="48"/>
  <c r="C192" i="48"/>
  <c r="C169" i="48"/>
  <c r="C199" i="48"/>
  <c r="C197" i="48"/>
  <c r="C208" i="31"/>
  <c r="A207" i="31"/>
  <c r="C206" i="48" s="1"/>
  <c r="A222" i="33"/>
  <c r="C223" i="33"/>
  <c r="C209" i="31" l="1"/>
  <c r="A208" i="31"/>
  <c r="A223" i="33"/>
  <c r="C224" i="33"/>
  <c r="C210" i="31" l="1"/>
  <c r="A209" i="31"/>
  <c r="A224" i="33"/>
  <c r="C225" i="33"/>
  <c r="A210" i="31" l="1"/>
  <c r="C211" i="31"/>
  <c r="C226" i="33"/>
  <c r="A225" i="33"/>
  <c r="C212" i="31" l="1"/>
  <c r="A211" i="31"/>
  <c r="A226" i="33"/>
  <c r="C227" i="33"/>
  <c r="A212" i="31" l="1"/>
  <c r="C213" i="31"/>
  <c r="C228" i="33"/>
  <c r="A227" i="33"/>
  <c r="C214" i="31" l="1"/>
  <c r="A213" i="31"/>
  <c r="A228" i="33"/>
  <c r="C229" i="33"/>
  <c r="A214" i="31" l="1"/>
  <c r="C215" i="31"/>
  <c r="A229" i="33"/>
  <c r="C230" i="33"/>
  <c r="C231" i="33" s="1"/>
  <c r="C232" i="33" s="1"/>
  <c r="C233" i="33" s="1"/>
  <c r="C216" i="31" l="1"/>
  <c r="A215" i="31"/>
  <c r="C234" i="33"/>
  <c r="C235" i="33" s="1"/>
  <c r="C236" i="33" s="1"/>
  <c r="C237" i="33" s="1"/>
  <c r="C238" i="33" s="1"/>
  <c r="C239" i="33" s="1"/>
  <c r="C240" i="33" s="1"/>
  <c r="C241" i="33" s="1"/>
  <c r="C242" i="33" s="1"/>
  <c r="C243" i="33" s="1"/>
  <c r="C244" i="33" s="1"/>
  <c r="C245" i="33" s="1"/>
  <c r="C246" i="33" s="1"/>
  <c r="C247" i="33" s="1"/>
  <c r="C248" i="33" s="1"/>
  <c r="C249" i="33" s="1"/>
  <c r="C250" i="33" s="1"/>
  <c r="C251" i="33" s="1"/>
  <c r="C252" i="33" s="1"/>
  <c r="C253" i="33" s="1"/>
  <c r="C254" i="33" s="1"/>
  <c r="C255" i="33" s="1"/>
  <c r="C256" i="33" s="1"/>
  <c r="C257" i="33" s="1"/>
  <c r="C258" i="33" s="1"/>
  <c r="C259" i="33" s="1"/>
  <c r="C260" i="33" s="1"/>
  <c r="C261" i="33" s="1"/>
  <c r="C262" i="33" s="1"/>
  <c r="C263" i="33" s="1"/>
  <c r="C264" i="33" s="1"/>
  <c r="C265" i="33" s="1"/>
  <c r="C266" i="33" s="1"/>
  <c r="C267" i="33" s="1"/>
  <c r="C268" i="33" s="1"/>
  <c r="C269" i="33" s="1"/>
  <c r="A233" i="33"/>
  <c r="A234" i="33"/>
  <c r="A230" i="33"/>
  <c r="C217" i="31" l="1"/>
  <c r="A216" i="31"/>
  <c r="A235" i="33"/>
  <c r="A232" i="33"/>
  <c r="A231" i="33"/>
  <c r="C218" i="31" l="1"/>
  <c r="A217" i="31"/>
  <c r="A236" i="33"/>
  <c r="C219" i="31" l="1"/>
  <c r="A218" i="31"/>
  <c r="A238" i="33"/>
  <c r="A237" i="33"/>
  <c r="C220" i="31" l="1"/>
  <c r="A219" i="31"/>
  <c r="A239" i="33"/>
  <c r="C221" i="31" l="1"/>
  <c r="A220" i="31"/>
  <c r="A240" i="33"/>
  <c r="C222" i="31" l="1"/>
  <c r="A221" i="31"/>
  <c r="A241" i="33"/>
  <c r="A222" i="31" l="1"/>
  <c r="C223" i="31"/>
  <c r="A242" i="33"/>
  <c r="A213" i="52"/>
  <c r="C224" i="31" l="1"/>
  <c r="A223" i="31"/>
  <c r="A243" i="33"/>
  <c r="A214" i="52"/>
  <c r="A224" i="31" l="1"/>
  <c r="C225" i="31"/>
  <c r="A244" i="33"/>
  <c r="A215" i="52"/>
  <c r="C226" i="31" l="1"/>
  <c r="A225" i="31"/>
  <c r="A245" i="33"/>
  <c r="A216" i="52"/>
  <c r="C227" i="31" l="1"/>
  <c r="A226" i="31"/>
  <c r="A248" i="33"/>
  <c r="A246" i="33"/>
  <c r="A217" i="52"/>
  <c r="C228" i="31" l="1"/>
  <c r="A227" i="31"/>
  <c r="A249" i="33"/>
  <c r="A247" i="33"/>
  <c r="C229" i="31" l="1"/>
  <c r="A228" i="31"/>
  <c r="A250" i="33"/>
  <c r="C230" i="31" l="1"/>
  <c r="A229" i="31"/>
  <c r="A251" i="33"/>
  <c r="A230" i="31" l="1"/>
  <c r="C231" i="31"/>
  <c r="A252" i="33"/>
  <c r="C232" i="31" l="1"/>
  <c r="A231" i="31"/>
  <c r="A253" i="33"/>
  <c r="C233" i="31" l="1"/>
  <c r="A232" i="31"/>
  <c r="A254" i="33"/>
  <c r="C234" i="31" l="1"/>
  <c r="A233" i="31"/>
  <c r="A255" i="33"/>
  <c r="C235" i="31" l="1"/>
  <c r="A234" i="31"/>
  <c r="A256" i="33"/>
  <c r="C236" i="31" l="1"/>
  <c r="A235" i="31"/>
  <c r="A261" i="33"/>
  <c r="A257" i="33"/>
  <c r="A219" i="52"/>
  <c r="A236" i="31" l="1"/>
  <c r="C237" i="31"/>
  <c r="A262" i="33"/>
  <c r="A258" i="33"/>
  <c r="A220" i="52"/>
  <c r="B135" i="52"/>
  <c r="B136" i="52"/>
  <c r="B137" i="52"/>
  <c r="B138" i="52"/>
  <c r="B139" i="52"/>
  <c r="B140" i="52"/>
  <c r="B141" i="52"/>
  <c r="B142" i="52"/>
  <c r="B143" i="52"/>
  <c r="B144" i="52"/>
  <c r="B145" i="52"/>
  <c r="B146" i="52"/>
  <c r="B147" i="52"/>
  <c r="B148" i="52"/>
  <c r="B149" i="52"/>
  <c r="B150" i="52"/>
  <c r="B151" i="52"/>
  <c r="B152" i="52"/>
  <c r="B161" i="52"/>
  <c r="B162" i="52"/>
  <c r="B163" i="52"/>
  <c r="B164" i="52"/>
  <c r="B165" i="52"/>
  <c r="B166" i="52"/>
  <c r="B167" i="52"/>
  <c r="B168" i="52"/>
  <c r="B170" i="52"/>
  <c r="B171" i="52"/>
  <c r="B172" i="52"/>
  <c r="B173" i="52"/>
  <c r="B174" i="52"/>
  <c r="B175" i="52"/>
  <c r="B176" i="52"/>
  <c r="B177" i="52"/>
  <c r="B178" i="52"/>
  <c r="B179" i="52"/>
  <c r="B180" i="52"/>
  <c r="B181" i="52"/>
  <c r="B182" i="52"/>
  <c r="B183" i="52"/>
  <c r="B184" i="52"/>
  <c r="B187" i="52"/>
  <c r="B188" i="52"/>
  <c r="B213" i="52"/>
  <c r="B214" i="52"/>
  <c r="B215" i="52"/>
  <c r="B216" i="52"/>
  <c r="B217" i="52"/>
  <c r="B219" i="52"/>
  <c r="B191" i="31" l="1"/>
  <c r="B195" i="31"/>
  <c r="B170" i="31"/>
  <c r="B216" i="31"/>
  <c r="B168" i="31"/>
  <c r="B212" i="31"/>
  <c r="B210" i="31"/>
  <c r="B181" i="31"/>
  <c r="B173" i="31"/>
  <c r="B177" i="31"/>
  <c r="A237" i="31"/>
  <c r="B176" i="31"/>
  <c r="B174" i="31"/>
  <c r="B214" i="31"/>
  <c r="B163" i="31"/>
  <c r="B203" i="31"/>
  <c r="B180" i="31"/>
  <c r="B220" i="31"/>
  <c r="B185" i="31"/>
  <c r="B225" i="31"/>
  <c r="B178" i="31"/>
  <c r="B218" i="31"/>
  <c r="B167" i="31"/>
  <c r="B207" i="31"/>
  <c r="B184" i="31"/>
  <c r="B224" i="31"/>
  <c r="B189" i="31"/>
  <c r="B233" i="31"/>
  <c r="B182" i="31"/>
  <c r="B222" i="31"/>
  <c r="B171" i="31"/>
  <c r="B211" i="31"/>
  <c r="B188" i="31"/>
  <c r="B228" i="31"/>
  <c r="B193" i="31"/>
  <c r="B234" i="31"/>
  <c r="B186" i="31"/>
  <c r="B226" i="31"/>
  <c r="B175" i="31"/>
  <c r="B219" i="31"/>
  <c r="B192" i="31"/>
  <c r="B232" i="31"/>
  <c r="B197" i="31"/>
  <c r="B235" i="31"/>
  <c r="B190" i="31"/>
  <c r="B230" i="31"/>
  <c r="B179" i="31"/>
  <c r="B227" i="31"/>
  <c r="B196" i="31"/>
  <c r="B161" i="31"/>
  <c r="B201" i="31"/>
  <c r="B194" i="31"/>
  <c r="B215" i="31"/>
  <c r="B183" i="31"/>
  <c r="B160" i="31"/>
  <c r="B200" i="31"/>
  <c r="B165" i="31"/>
  <c r="B205" i="31"/>
  <c r="C238" i="31"/>
  <c r="B198" i="31"/>
  <c r="B223" i="31"/>
  <c r="B187" i="31"/>
  <c r="B164" i="31"/>
  <c r="B204" i="31"/>
  <c r="B169" i="31"/>
  <c r="B209" i="31"/>
  <c r="B162" i="31"/>
  <c r="B202" i="31"/>
  <c r="B231" i="31"/>
  <c r="B208" i="31"/>
  <c r="B213" i="31"/>
  <c r="B166" i="31"/>
  <c r="B206" i="31"/>
  <c r="B229" i="31"/>
  <c r="B172" i="31"/>
  <c r="B217" i="31"/>
  <c r="B199" i="31"/>
  <c r="B221" i="31"/>
  <c r="B236" i="31"/>
  <c r="A263" i="33"/>
  <c r="A259" i="33"/>
  <c r="A221" i="52"/>
  <c r="B16" i="53" l="1"/>
  <c r="J16" i="53"/>
  <c r="B12" i="53"/>
  <c r="J12" i="53"/>
  <c r="B13" i="53"/>
  <c r="J13" i="53"/>
  <c r="B18" i="19"/>
  <c r="D32" i="27"/>
  <c r="B237" i="31"/>
  <c r="C239" i="31"/>
  <c r="A238" i="31"/>
  <c r="D47" i="25"/>
  <c r="B14" i="19"/>
  <c r="B15" i="19"/>
  <c r="D28" i="26"/>
  <c r="A264" i="33"/>
  <c r="A260" i="33"/>
  <c r="A222" i="52"/>
  <c r="A239" i="31" l="1"/>
  <c r="C240" i="31"/>
  <c r="A265" i="33"/>
  <c r="A223" i="52"/>
  <c r="A240" i="31" l="1"/>
  <c r="C241" i="31"/>
  <c r="A266" i="33"/>
  <c r="A224" i="52"/>
  <c r="C217" i="48" l="1"/>
  <c r="C231" i="48"/>
  <c r="C210" i="48"/>
  <c r="C227" i="48"/>
  <c r="C238" i="48"/>
  <c r="C221" i="48"/>
  <c r="C216" i="48"/>
  <c r="C213" i="48"/>
  <c r="C222" i="48"/>
  <c r="C233" i="48"/>
  <c r="C239" i="48"/>
  <c r="C228" i="48"/>
  <c r="C230" i="48"/>
  <c r="C220" i="48"/>
  <c r="C218" i="48"/>
  <c r="C225" i="48"/>
  <c r="C208" i="48"/>
  <c r="C235" i="48"/>
  <c r="C215" i="48"/>
  <c r="C219" i="48"/>
  <c r="C223" i="48"/>
  <c r="C236" i="48"/>
  <c r="C237" i="48"/>
  <c r="C234" i="48"/>
  <c r="C214" i="48"/>
  <c r="C207" i="48"/>
  <c r="C211" i="48"/>
  <c r="C212" i="48"/>
  <c r="C229" i="48"/>
  <c r="C209" i="48"/>
  <c r="C226" i="48"/>
  <c r="C224" i="48"/>
  <c r="C232" i="48"/>
  <c r="A241" i="31"/>
  <c r="C240" i="48" s="1"/>
  <c r="C242" i="31"/>
  <c r="A267" i="33"/>
  <c r="A225" i="52"/>
  <c r="C243" i="31" l="1"/>
  <c r="A242" i="31"/>
  <c r="A268" i="33"/>
  <c r="A226" i="52"/>
  <c r="A243" i="31" l="1"/>
  <c r="C244" i="31"/>
  <c r="A269" i="33"/>
  <c r="A227" i="52"/>
  <c r="C245" i="31" l="1"/>
  <c r="A244" i="31"/>
  <c r="A228" i="52"/>
  <c r="C246" i="31" l="1"/>
  <c r="A245" i="31"/>
  <c r="A229" i="52"/>
  <c r="A246" i="31" l="1"/>
  <c r="C247" i="31"/>
  <c r="A230" i="52"/>
  <c r="C248" i="31" l="1"/>
  <c r="A247" i="31"/>
  <c r="A231" i="52"/>
  <c r="C249" i="31" l="1"/>
  <c r="A248" i="31"/>
  <c r="A232" i="52"/>
  <c r="C250" i="31" l="1"/>
  <c r="A249" i="31"/>
  <c r="A233" i="52"/>
  <c r="A250" i="31" l="1"/>
  <c r="C251" i="31"/>
  <c r="A234" i="52"/>
  <c r="C252" i="31" l="1"/>
  <c r="A251" i="31"/>
  <c r="A235" i="52"/>
  <c r="A252" i="31" l="1"/>
  <c r="C253" i="31"/>
  <c r="A236" i="52"/>
  <c r="A253" i="31" l="1"/>
  <c r="C254" i="31"/>
  <c r="A237" i="52"/>
  <c r="C255" i="31" l="1"/>
  <c r="A254" i="31"/>
  <c r="B220" i="52"/>
  <c r="A239" i="52"/>
  <c r="C256" i="31" l="1"/>
  <c r="A255" i="31"/>
  <c r="B255" i="31" s="1"/>
  <c r="B239" i="52"/>
  <c r="A241" i="52"/>
  <c r="B221" i="52"/>
  <c r="B222" i="52"/>
  <c r="B223" i="52"/>
  <c r="B224" i="52"/>
  <c r="B225" i="52"/>
  <c r="B226" i="52"/>
  <c r="B227" i="52"/>
  <c r="B228" i="52"/>
  <c r="B229" i="52"/>
  <c r="B230" i="52"/>
  <c r="B231" i="52"/>
  <c r="B232" i="52"/>
  <c r="B233" i="52"/>
  <c r="B234" i="52"/>
  <c r="B235" i="52"/>
  <c r="B236" i="52"/>
  <c r="B237" i="52"/>
  <c r="B239" i="31" l="1"/>
  <c r="B249" i="31"/>
  <c r="B247" i="31"/>
  <c r="B252" i="31"/>
  <c r="C257" i="31"/>
  <c r="B253" i="31"/>
  <c r="B240" i="31"/>
  <c r="B254" i="31"/>
  <c r="B244" i="31"/>
  <c r="B238" i="31"/>
  <c r="B248" i="31"/>
  <c r="B242" i="31"/>
  <c r="B251" i="31"/>
  <c r="B246" i="31"/>
  <c r="A256" i="31"/>
  <c r="B256" i="31" s="1"/>
  <c r="B250" i="31"/>
  <c r="B241" i="31"/>
  <c r="B243" i="31"/>
  <c r="B245" i="31"/>
  <c r="A244" i="52"/>
  <c r="A257" i="31" l="1"/>
  <c r="C258" i="31"/>
  <c r="A245" i="52"/>
  <c r="C259" i="31" l="1"/>
  <c r="A258" i="31"/>
  <c r="C257" i="48" s="1"/>
  <c r="C250" i="48"/>
  <c r="C248" i="48"/>
  <c r="C254" i="48"/>
  <c r="C241" i="48"/>
  <c r="C245" i="48"/>
  <c r="C242" i="48"/>
  <c r="C253" i="48"/>
  <c r="C252" i="48"/>
  <c r="C244" i="48"/>
  <c r="C251" i="48"/>
  <c r="C246" i="48"/>
  <c r="C256" i="48"/>
  <c r="C247" i="48"/>
  <c r="C255" i="48"/>
  <c r="C243" i="48"/>
  <c r="C249" i="48"/>
  <c r="A246" i="52"/>
  <c r="A259" i="31" l="1"/>
  <c r="C260" i="31"/>
  <c r="A247" i="52"/>
  <c r="C261" i="31" l="1"/>
  <c r="A260" i="31"/>
  <c r="A248" i="52"/>
  <c r="C262" i="31" l="1"/>
  <c r="A261" i="31"/>
  <c r="A249" i="52"/>
  <c r="C263" i="31" l="1"/>
  <c r="A262" i="31"/>
  <c r="A250" i="52"/>
  <c r="C264" i="31" l="1"/>
  <c r="A263" i="31"/>
  <c r="A251" i="52"/>
  <c r="C265" i="31" l="1"/>
  <c r="A264" i="31"/>
  <c r="B241" i="52"/>
  <c r="B251" i="52"/>
  <c r="A252" i="52"/>
  <c r="A265" i="31" l="1"/>
  <c r="C266" i="31"/>
  <c r="B252" i="52"/>
  <c r="A253" i="52"/>
  <c r="B244" i="52"/>
  <c r="B245" i="52"/>
  <c r="B246" i="52"/>
  <c r="B247" i="52"/>
  <c r="B248" i="52"/>
  <c r="B249" i="52"/>
  <c r="B250" i="52"/>
  <c r="A266" i="31" l="1"/>
  <c r="B261" i="31"/>
  <c r="B262" i="31"/>
  <c r="B263" i="31"/>
  <c r="B257" i="31"/>
  <c r="B258" i="31"/>
  <c r="C267" i="31"/>
  <c r="B259" i="31"/>
  <c r="B260" i="31"/>
  <c r="B265" i="31"/>
  <c r="C262" i="48"/>
  <c r="C263" i="48"/>
  <c r="C259" i="48"/>
  <c r="C264" i="48"/>
  <c r="C261" i="48"/>
  <c r="C260" i="48"/>
  <c r="C258" i="48"/>
  <c r="B264" i="31"/>
  <c r="A254" i="52"/>
  <c r="C265" i="48"/>
  <c r="C268" i="31" l="1"/>
  <c r="A267" i="31"/>
  <c r="B266" i="31"/>
  <c r="A255" i="52"/>
  <c r="A268" i="31" l="1"/>
  <c r="C269" i="31"/>
  <c r="A256" i="52"/>
  <c r="C270" i="31" l="1"/>
  <c r="A269" i="31"/>
  <c r="B253" i="52"/>
  <c r="A257" i="52"/>
  <c r="C266" i="48" l="1"/>
  <c r="C267" i="48"/>
  <c r="C268" i="48"/>
  <c r="A270" i="31"/>
  <c r="C271" i="31"/>
  <c r="B257" i="52"/>
  <c r="A258" i="52"/>
  <c r="B254" i="52"/>
  <c r="B255" i="52"/>
  <c r="B256" i="52"/>
  <c r="C272" i="31" l="1"/>
  <c r="A271" i="31"/>
  <c r="B267" i="31"/>
  <c r="B268" i="31"/>
  <c r="B269" i="31"/>
  <c r="B270" i="31"/>
  <c r="C269" i="48"/>
  <c r="B57" i="52"/>
  <c r="B31" i="52"/>
  <c r="B258" i="52"/>
  <c r="B10" i="52"/>
  <c r="A259" i="52"/>
  <c r="B271" i="31" l="1"/>
  <c r="C270" i="48"/>
  <c r="C273" i="31"/>
  <c r="A272" i="31"/>
  <c r="B48" i="52"/>
  <c r="B37" i="52"/>
  <c r="B40" i="52"/>
  <c r="A260" i="52"/>
  <c r="B260" i="52" s="1"/>
  <c r="B50" i="52"/>
  <c r="B52" i="52"/>
  <c r="B11" i="52"/>
  <c r="B41" i="52"/>
  <c r="B49" i="52"/>
  <c r="B53" i="52"/>
  <c r="B35" i="52"/>
  <c r="B51" i="52"/>
  <c r="B54" i="52"/>
  <c r="B14" i="52"/>
  <c r="B43" i="52"/>
  <c r="B19" i="52"/>
  <c r="B47" i="52"/>
  <c r="B6" i="52"/>
  <c r="B34" i="52"/>
  <c r="B60" i="52"/>
  <c r="B62" i="52"/>
  <c r="B15" i="52"/>
  <c r="B20" i="52"/>
  <c r="B27" i="52"/>
  <c r="B12" i="52"/>
  <c r="B59" i="52"/>
  <c r="B5" i="52"/>
  <c r="B7" i="52"/>
  <c r="B17" i="52"/>
  <c r="B44" i="52"/>
  <c r="B28" i="52"/>
  <c r="B22" i="52"/>
  <c r="B46" i="52"/>
  <c r="B61" i="52"/>
  <c r="B58" i="52"/>
  <c r="B42" i="52"/>
  <c r="B38" i="52"/>
  <c r="B45" i="52"/>
  <c r="B36" i="52"/>
  <c r="B23" i="52"/>
  <c r="B24" i="52"/>
  <c r="B18" i="52"/>
  <c r="B30" i="52"/>
  <c r="B55" i="52"/>
  <c r="B39" i="52"/>
  <c r="B8" i="52"/>
  <c r="B29" i="52"/>
  <c r="B21" i="52"/>
  <c r="B9" i="52"/>
  <c r="B25" i="52"/>
  <c r="B13" i="52"/>
  <c r="B56" i="52"/>
  <c r="B259" i="52"/>
  <c r="C271" i="48" l="1"/>
  <c r="B272" i="31"/>
  <c r="A273" i="31"/>
  <c r="B273" i="31" s="1"/>
  <c r="C272" i="48" l="1"/>
  <c r="C273" i="48"/>
  <c r="C289" i="48"/>
  <c r="C365" i="48"/>
  <c r="C366" i="48" l="1"/>
  <c r="C350" i="48"/>
  <c r="C334" i="48"/>
  <c r="C375" i="48"/>
  <c r="C406" i="48"/>
  <c r="C338" i="48"/>
  <c r="C405" i="48"/>
  <c r="C395" i="48"/>
  <c r="C317" i="48"/>
  <c r="C319" i="48"/>
  <c r="C280" i="48"/>
  <c r="C392" i="48"/>
  <c r="C320" i="48"/>
  <c r="C300" i="48"/>
  <c r="C287" i="48"/>
  <c r="C396" i="48"/>
  <c r="C303" i="48"/>
  <c r="C336" i="48"/>
  <c r="C339" i="48"/>
  <c r="C326" i="48"/>
  <c r="C283" i="48"/>
  <c r="C324" i="48"/>
  <c r="C302" i="48"/>
  <c r="C323" i="48"/>
  <c r="C412" i="48"/>
  <c r="C411" i="48"/>
  <c r="C361" i="48"/>
  <c r="C355" i="48"/>
  <c r="C387" i="48"/>
  <c r="C383" i="48"/>
  <c r="C378" i="48"/>
  <c r="C308" i="48"/>
  <c r="C296" i="48"/>
  <c r="C314" i="48"/>
  <c r="C327" i="48"/>
  <c r="C313" i="48"/>
  <c r="C342" i="48"/>
  <c r="C277" i="48"/>
  <c r="C278" i="48"/>
  <c r="C345" i="48"/>
  <c r="C331" i="48"/>
  <c r="C281" i="48"/>
  <c r="C304" i="48"/>
  <c r="C292" i="48"/>
  <c r="C373" i="48"/>
  <c r="C286" i="48"/>
  <c r="C408" i="48"/>
  <c r="C376" i="48"/>
  <c r="C288" i="48"/>
  <c r="C356" i="48"/>
  <c r="C414" i="48"/>
  <c r="C367" i="48"/>
  <c r="C348" i="48"/>
  <c r="C322" i="48"/>
  <c r="C337" i="48"/>
  <c r="C369" i="48"/>
  <c r="C333" i="48"/>
  <c r="C295" i="48"/>
  <c r="C306" i="48"/>
  <c r="C343" i="48"/>
  <c r="C379" i="48"/>
  <c r="C284" i="48"/>
  <c r="C385" i="48"/>
  <c r="C315" i="48"/>
  <c r="C400" i="48"/>
  <c r="C397" i="48"/>
  <c r="C330" i="48"/>
  <c r="C370" i="48"/>
  <c r="C404" i="48"/>
  <c r="C402" i="48"/>
  <c r="C346" i="48"/>
  <c r="C391" i="48"/>
  <c r="C390" i="48"/>
  <c r="C307" i="48"/>
  <c r="C358" i="48"/>
  <c r="C409" i="48"/>
  <c r="C359" i="48"/>
  <c r="C362" i="48"/>
  <c r="C351" i="48"/>
  <c r="C299" i="48"/>
  <c r="C311" i="48"/>
  <c r="C401" i="48"/>
  <c r="C382" i="48"/>
  <c r="C399" i="48"/>
  <c r="C380" i="48"/>
  <c r="C394" i="48"/>
  <c r="C347" i="48"/>
  <c r="C310" i="48"/>
  <c r="C282" i="48"/>
  <c r="C293" i="48"/>
  <c r="C276" i="48"/>
  <c r="C372" i="48"/>
  <c r="C386" i="48"/>
  <c r="C341" i="48"/>
  <c r="C298" i="48"/>
  <c r="C318" i="48"/>
  <c r="C332" i="48"/>
  <c r="C297" i="48"/>
  <c r="C389" i="48"/>
  <c r="C290" i="48"/>
  <c r="C329" i="48"/>
  <c r="C363" i="48"/>
  <c r="C413" i="48"/>
  <c r="C352" i="48"/>
  <c r="C354" i="48"/>
  <c r="C489" i="48"/>
  <c r="C486" i="48"/>
  <c r="C500" i="48"/>
  <c r="C493" i="48"/>
  <c r="C492" i="48"/>
  <c r="C494" i="48"/>
  <c r="C506" i="48"/>
  <c r="C487" i="48"/>
  <c r="C507" i="48"/>
  <c r="C497" i="48"/>
  <c r="C445" i="48"/>
  <c r="C438" i="48"/>
  <c r="C450" i="48"/>
  <c r="C418" i="48"/>
  <c r="C447" i="48"/>
  <c r="C466" i="48"/>
  <c r="C468" i="48"/>
  <c r="C474" i="48"/>
  <c r="C421" i="48"/>
  <c r="C424" i="48"/>
  <c r="C463" i="48"/>
  <c r="C467" i="48"/>
  <c r="C483" i="48"/>
  <c r="C482" i="48"/>
  <c r="C505" i="48"/>
  <c r="C488" i="48"/>
  <c r="C481" i="48"/>
  <c r="C449" i="48"/>
  <c r="C458" i="48"/>
  <c r="C416" i="48"/>
  <c r="C455" i="48"/>
  <c r="C453" i="48"/>
  <c r="C435" i="48"/>
  <c r="C459" i="48"/>
  <c r="C417" i="48"/>
  <c r="C440" i="48"/>
  <c r="C433" i="48"/>
  <c r="C471" i="48"/>
  <c r="C431" i="48"/>
  <c r="C478" i="48"/>
  <c r="C496" i="48"/>
  <c r="C498" i="48"/>
  <c r="C443" i="48"/>
  <c r="C464" i="48"/>
  <c r="C477" i="48"/>
  <c r="C437" i="48"/>
  <c r="C462" i="48"/>
  <c r="C452" i="48"/>
  <c r="C473" i="48"/>
  <c r="C456" i="48"/>
  <c r="C425" i="48"/>
  <c r="C423" i="48"/>
  <c r="C428" i="48"/>
  <c r="C419" i="48"/>
  <c r="C502" i="48"/>
  <c r="C491" i="48"/>
  <c r="C501" i="48"/>
  <c r="C503" i="48"/>
  <c r="C484" i="48"/>
  <c r="C479" i="48"/>
  <c r="C436" i="48"/>
  <c r="C432" i="48"/>
  <c r="C469" i="48"/>
  <c r="C460" i="48"/>
  <c r="C442" i="48"/>
  <c r="C441" i="48"/>
  <c r="C422" i="48"/>
  <c r="C429" i="48"/>
  <c r="C446" i="48"/>
  <c r="C427" i="48"/>
  <c r="C476" i="48"/>
  <c r="I4" i="20" l="1"/>
  <c r="I9" i="30"/>
  <c r="I11" i="30"/>
  <c r="I4" i="30"/>
  <c r="I10" i="30"/>
  <c r="E10" i="19"/>
  <c r="C10" i="19"/>
  <c r="C16" i="19" s="1"/>
  <c r="C22" i="19" s="1"/>
  <c r="D10" i="19" l="1"/>
  <c r="G12" i="30"/>
  <c r="I14" i="30" s="1"/>
  <c r="I12" i="30"/>
  <c r="I35" i="4" l="1"/>
  <c r="H10" i="19"/>
  <c r="I10" i="19" s="1"/>
  <c r="C8" i="53" s="1"/>
  <c r="I16" i="30"/>
  <c r="F10" i="19"/>
  <c r="G1" i="30"/>
  <c r="K8" i="53" l="1"/>
  <c r="G8" i="53"/>
  <c r="F8" i="53"/>
  <c r="H8" i="19"/>
  <c r="I37" i="4"/>
  <c r="I1" i="30"/>
  <c r="J1" i="30"/>
  <c r="M10" i="19"/>
  <c r="J14" i="30" s="1"/>
  <c r="L10" i="19"/>
  <c r="N8" i="53" l="1"/>
  <c r="O8" i="53"/>
  <c r="I8" i="19"/>
  <c r="C6" i="53" s="1"/>
  <c r="J1" i="4"/>
  <c r="I1" i="4"/>
  <c r="K6" i="53" l="1"/>
  <c r="G6" i="53"/>
  <c r="F6" i="53"/>
  <c r="M8" i="19"/>
  <c r="L8" i="19"/>
  <c r="N6" i="53" l="1"/>
  <c r="O6" i="53"/>
  <c r="J35" i="4"/>
  <c r="C472" i="48" l="1"/>
  <c r="I5" i="20" l="1"/>
  <c r="I35" i="20" l="1"/>
  <c r="I38" i="20"/>
  <c r="H9" i="19" l="1"/>
  <c r="I9" i="19" s="1"/>
  <c r="C7" i="53" s="1"/>
  <c r="I40" i="20"/>
  <c r="K7" i="53" l="1"/>
  <c r="G7" i="53"/>
  <c r="F7" i="53"/>
  <c r="J1" i="20"/>
  <c r="I1" i="20"/>
  <c r="M9" i="19"/>
  <c r="J38" i="20" s="1"/>
  <c r="L9" i="19"/>
  <c r="N7" i="53" l="1"/>
  <c r="O7" i="53"/>
  <c r="B153" i="52"/>
  <c r="F16" i="3"/>
  <c r="C3" i="3"/>
  <c r="E19" i="3"/>
  <c r="E18" i="3"/>
  <c r="E20" i="3"/>
  <c r="E16" i="3"/>
  <c r="E17" i="3"/>
  <c r="E21" i="3"/>
  <c r="I29" i="24"/>
  <c r="I31" i="24" l="1"/>
  <c r="I1" i="24" s="1"/>
  <c r="H13" i="19"/>
  <c r="J1" i="24" l="1"/>
  <c r="I13" i="19"/>
  <c r="L13" i="19" l="1"/>
  <c r="C11" i="53"/>
  <c r="M13" i="19"/>
  <c r="I49" i="25"/>
  <c r="K11" i="53" l="1"/>
  <c r="G11" i="53"/>
  <c r="F11" i="53"/>
  <c r="I51" i="25"/>
  <c r="J1" i="25" s="1"/>
  <c r="J29" i="24"/>
  <c r="H14" i="19"/>
  <c r="I1" i="25" l="1"/>
  <c r="N11" i="53"/>
  <c r="O11" i="53"/>
  <c r="I14" i="19"/>
  <c r="C12" i="53" s="1"/>
  <c r="F12" i="53" s="1"/>
  <c r="K12" i="53" l="1"/>
  <c r="L14" i="19"/>
  <c r="N12" i="53" l="1"/>
  <c r="O12" i="53"/>
  <c r="I13" i="24"/>
  <c r="I14" i="24"/>
  <c r="I18" i="23"/>
  <c r="I21" i="23"/>
  <c r="I11" i="24"/>
  <c r="I11" i="21"/>
  <c r="I17" i="21"/>
  <c r="I13" i="21"/>
  <c r="I12" i="21"/>
  <c r="I6" i="21"/>
  <c r="I30" i="21"/>
  <c r="I15" i="24"/>
  <c r="I4" i="23"/>
  <c r="I10" i="21"/>
  <c r="I5" i="23"/>
  <c r="I8" i="21"/>
  <c r="I20" i="23"/>
  <c r="I19" i="23"/>
  <c r="I7" i="21"/>
  <c r="I12" i="24"/>
  <c r="I9" i="21"/>
  <c r="G5" i="26" l="1"/>
  <c r="G6" i="23"/>
  <c r="I6" i="23" s="1"/>
  <c r="G15" i="23"/>
  <c r="I15" i="23" s="1"/>
  <c r="I4" i="21"/>
  <c r="I27" i="24" l="1"/>
  <c r="H15" i="19"/>
  <c r="I15" i="19" s="1"/>
  <c r="C13" i="53" s="1"/>
  <c r="G22" i="23"/>
  <c r="I25" i="23" s="1"/>
  <c r="I31" i="21"/>
  <c r="I22" i="23"/>
  <c r="I33" i="21"/>
  <c r="K13" i="53" l="1"/>
  <c r="F13" i="53"/>
  <c r="G13" i="53"/>
  <c r="H12" i="19"/>
  <c r="I12" i="19" s="1"/>
  <c r="L12" i="19" s="1"/>
  <c r="I27" i="23"/>
  <c r="J1" i="23" s="1"/>
  <c r="I33" i="26"/>
  <c r="I1" i="26" s="1"/>
  <c r="M15" i="19"/>
  <c r="L15" i="19"/>
  <c r="H11" i="19"/>
  <c r="I35" i="21"/>
  <c r="M12" i="19" l="1"/>
  <c r="J25" i="23" s="1"/>
  <c r="C10" i="53"/>
  <c r="F10" i="53" s="1"/>
  <c r="N13" i="53"/>
  <c r="O13" i="53"/>
  <c r="J31" i="26"/>
  <c r="I1" i="23"/>
  <c r="J1" i="26"/>
  <c r="J1" i="21"/>
  <c r="I1" i="21"/>
  <c r="I11" i="19"/>
  <c r="C9" i="53" s="1"/>
  <c r="F9" i="53" s="1"/>
  <c r="H16" i="19"/>
  <c r="K9" i="53" l="1"/>
  <c r="K10" i="53"/>
  <c r="G10" i="53"/>
  <c r="F14" i="53"/>
  <c r="L11" i="19"/>
  <c r="L16" i="19" s="1"/>
  <c r="N10" i="53" l="1"/>
  <c r="O10" i="53"/>
  <c r="N9" i="53"/>
  <c r="O9" i="53"/>
  <c r="B54" i="33"/>
  <c r="N14" i="53" l="1"/>
  <c r="K24" i="53"/>
  <c r="B259" i="33"/>
  <c r="B260" i="33" l="1"/>
  <c r="B263" i="33"/>
  <c r="B264" i="33"/>
  <c r="B265" i="33"/>
  <c r="B261" i="33"/>
  <c r="E14" i="19"/>
  <c r="I17" i="28"/>
  <c r="I31" i="27"/>
  <c r="I16" i="28"/>
  <c r="I34" i="27" l="1"/>
  <c r="I29" i="27"/>
  <c r="I32" i="27" s="1"/>
  <c r="E52" i="25"/>
  <c r="D14" i="19"/>
  <c r="G1" i="25" l="1"/>
  <c r="F14" i="19"/>
  <c r="I36" i="27"/>
  <c r="H18" i="19"/>
  <c r="M14" i="19" l="1"/>
  <c r="J49" i="25" s="1"/>
  <c r="G12" i="53"/>
  <c r="I18" i="19"/>
  <c r="C16" i="53" s="1"/>
  <c r="J1" i="27"/>
  <c r="I1" i="27"/>
  <c r="K16" i="53" l="1"/>
  <c r="N16" i="53" s="1"/>
  <c r="L18" i="19"/>
  <c r="B94" i="33" l="1"/>
  <c r="B95" i="33"/>
  <c r="B93" i="33"/>
  <c r="B96" i="33"/>
  <c r="B68" i="33" l="1"/>
  <c r="E72" i="20" s="1"/>
  <c r="B237" i="33"/>
  <c r="B29" i="33"/>
  <c r="B204" i="33"/>
  <c r="B52" i="33"/>
  <c r="B189" i="33"/>
  <c r="B67" i="33"/>
  <c r="E71" i="20" s="1"/>
  <c r="B205" i="33"/>
  <c r="B111" i="33"/>
  <c r="B73" i="33"/>
  <c r="B126" i="33"/>
  <c r="B156" i="33"/>
  <c r="B14" i="33"/>
  <c r="B43" i="33"/>
  <c r="B236" i="33"/>
  <c r="B164" i="33"/>
  <c r="B53" i="33"/>
  <c r="B213" i="33"/>
  <c r="B63" i="33"/>
  <c r="E67" i="20" s="1"/>
  <c r="B143" i="33"/>
  <c r="B18" i="33"/>
  <c r="B44" i="33"/>
  <c r="B106" i="33"/>
  <c r="B72" i="33"/>
  <c r="B195" i="33"/>
  <c r="B146" i="33"/>
  <c r="B98" i="33"/>
  <c r="B193" i="33"/>
  <c r="B246" i="33"/>
  <c r="B31" i="33"/>
  <c r="B25" i="33"/>
  <c r="B23" i="33"/>
  <c r="B214" i="33"/>
  <c r="B178" i="33"/>
  <c r="B8" i="33"/>
  <c r="B28" i="33"/>
  <c r="B84" i="33"/>
  <c r="B133" i="33"/>
  <c r="B221" i="33"/>
  <c r="B90" i="33"/>
  <c r="B241" i="33"/>
  <c r="B197" i="33"/>
  <c r="B9" i="33"/>
  <c r="B20" i="33"/>
  <c r="B5" i="33"/>
  <c r="B48" i="33"/>
  <c r="B161" i="33"/>
  <c r="B181" i="33"/>
  <c r="B188" i="33"/>
  <c r="B182" i="33"/>
  <c r="B81" i="33"/>
  <c r="B118" i="33"/>
  <c r="B165" i="33"/>
  <c r="B116" i="33"/>
  <c r="B42" i="33"/>
  <c r="D8" i="30" l="1"/>
  <c r="B147" i="33"/>
  <c r="E16" i="2"/>
  <c r="E9" i="40"/>
  <c r="I1" i="40" s="1"/>
  <c r="B203" i="33"/>
  <c r="D101" i="31"/>
  <c r="I101" i="31"/>
  <c r="H101" i="31"/>
  <c r="F101" i="31"/>
  <c r="A101" i="41"/>
  <c r="B250" i="33"/>
  <c r="B251" i="33"/>
  <c r="B252" i="33"/>
  <c r="B257" i="33"/>
  <c r="B256" i="33"/>
  <c r="B239" i="33"/>
  <c r="B218" i="33"/>
  <c r="B253" i="33"/>
  <c r="B255" i="33"/>
  <c r="B170" i="33"/>
  <c r="B139" i="33"/>
  <c r="B149" i="33"/>
  <c r="B243" i="33"/>
  <c r="B220" i="33"/>
  <c r="B56" i="33"/>
  <c r="B186" i="33"/>
  <c r="B158" i="33"/>
  <c r="B247" i="33"/>
  <c r="B114" i="33"/>
  <c r="B109" i="33"/>
  <c r="B248" i="33"/>
  <c r="I18" i="28" s="1"/>
  <c r="B65" i="33"/>
  <c r="E69" i="20" s="1"/>
  <c r="B242" i="33"/>
  <c r="B196" i="33"/>
  <c r="B172" i="33"/>
  <c r="B212" i="33"/>
  <c r="B100" i="33"/>
  <c r="B79" i="33"/>
  <c r="B160" i="33"/>
  <c r="B169" i="33"/>
  <c r="B10" i="33"/>
  <c r="B49" i="33"/>
  <c r="B176" i="33"/>
  <c r="B240" i="33"/>
  <c r="B80" i="33"/>
  <c r="B16" i="33"/>
  <c r="B86" i="33"/>
  <c r="B140" i="33"/>
  <c r="B64" i="33"/>
  <c r="E68" i="20" s="1"/>
  <c r="B211" i="33"/>
  <c r="B85" i="33"/>
  <c r="B125" i="33"/>
  <c r="B58" i="33"/>
  <c r="B208" i="33"/>
  <c r="B104" i="33"/>
  <c r="B33" i="33"/>
  <c r="B27" i="33"/>
  <c r="B216" i="33"/>
  <c r="B83" i="33"/>
  <c r="B192" i="33"/>
  <c r="B129" i="33"/>
  <c r="B88" i="33"/>
  <c r="B103" i="33"/>
  <c r="B207" i="33"/>
  <c r="B60" i="33"/>
  <c r="F75" i="20" s="1"/>
  <c r="B217" i="33"/>
  <c r="B226" i="33"/>
  <c r="B40" i="33"/>
  <c r="B57" i="33"/>
  <c r="B15" i="33"/>
  <c r="B134" i="33"/>
  <c r="B168" i="33"/>
  <c r="B154" i="33"/>
  <c r="B130" i="33"/>
  <c r="B223" i="33"/>
  <c r="B71" i="33"/>
  <c r="B127" i="33"/>
  <c r="B177" i="33"/>
  <c r="B4" i="33"/>
  <c r="B131" i="33"/>
  <c r="B180" i="33"/>
  <c r="B39" i="33"/>
  <c r="B175" i="33"/>
  <c r="B108" i="33"/>
  <c r="B35" i="33"/>
  <c r="B144" i="33"/>
  <c r="B51" i="33"/>
  <c r="B36" i="33"/>
  <c r="B173" i="33"/>
  <c r="B155" i="33"/>
  <c r="B229" i="33"/>
  <c r="B233" i="33"/>
  <c r="B142" i="33"/>
  <c r="B187" i="33"/>
  <c r="B151" i="33"/>
  <c r="B199" i="33"/>
  <c r="B153" i="33"/>
  <c r="B122" i="33"/>
  <c r="B77" i="33"/>
  <c r="B227" i="33"/>
  <c r="B150" i="33"/>
  <c r="B89" i="33"/>
  <c r="B110" i="33"/>
  <c r="B46" i="33"/>
  <c r="B70" i="33"/>
  <c r="B113" i="33"/>
  <c r="B6" i="33"/>
  <c r="B163" i="33"/>
  <c r="B231" i="33"/>
  <c r="B224" i="33"/>
  <c r="B99" i="33"/>
  <c r="B61" i="33"/>
  <c r="F76" i="20" s="1"/>
  <c r="B166" i="33"/>
  <c r="B66" i="33"/>
  <c r="E70" i="20" s="1"/>
  <c r="B159" i="33"/>
  <c r="B17" i="33"/>
  <c r="B21" i="33"/>
  <c r="B209" i="33"/>
  <c r="B91" i="33"/>
  <c r="B32" i="33"/>
  <c r="B105" i="33"/>
  <c r="B136" i="33"/>
  <c r="B12" i="33"/>
  <c r="B24" i="33"/>
  <c r="B76" i="33"/>
  <c r="B200" i="33"/>
  <c r="B47" i="33"/>
  <c r="B123" i="33"/>
  <c r="B235" i="33"/>
  <c r="B75" i="33"/>
  <c r="B11" i="33"/>
  <c r="B230" i="33"/>
  <c r="B137" i="33"/>
  <c r="B201" i="33"/>
  <c r="B119" i="33"/>
  <c r="B185" i="33"/>
  <c r="B115" i="33"/>
  <c r="B120" i="33"/>
  <c r="B101" i="33"/>
  <c r="B37" i="33"/>
  <c r="B191" i="33"/>
  <c r="B183" i="33"/>
  <c r="B234" i="33"/>
  <c r="B245" i="33"/>
  <c r="I64" i="20" l="1"/>
  <c r="I23" i="25"/>
  <c r="I47" i="25" s="1"/>
  <c r="B274" i="33"/>
  <c r="B273" i="33"/>
  <c r="B275" i="33"/>
  <c r="B276" i="33"/>
  <c r="G18" i="20"/>
  <c r="F64" i="20"/>
  <c r="B101" i="31"/>
  <c r="B101" i="48"/>
  <c r="G10" i="20"/>
  <c r="I19" i="28"/>
  <c r="I28" i="28" s="1"/>
  <c r="I32" i="28"/>
  <c r="G21" i="20"/>
  <c r="E35" i="21"/>
  <c r="A44" i="30"/>
  <c r="A45" i="30"/>
  <c r="A43" i="30"/>
  <c r="A42" i="30"/>
  <c r="F9" i="40"/>
  <c r="E17" i="2"/>
  <c r="E18" i="2" s="1"/>
  <c r="E34" i="21"/>
  <c r="D4" i="19"/>
  <c r="E11" i="19" l="1"/>
  <c r="E16" i="19" s="1"/>
  <c r="E22" i="19" s="1"/>
  <c r="C4" i="19"/>
  <c r="E4" i="19" s="1"/>
  <c r="E36" i="21"/>
  <c r="D11" i="19"/>
  <c r="D16" i="19" s="1"/>
  <c r="D22" i="19" s="1"/>
  <c r="G1" i="2"/>
  <c r="F4" i="19"/>
  <c r="H19" i="19"/>
  <c r="I34" i="28"/>
  <c r="M1" i="19" l="1"/>
  <c r="M4" i="19"/>
  <c r="J24" i="19" s="1"/>
  <c r="I1" i="28"/>
  <c r="J1" i="28"/>
  <c r="G1" i="21"/>
  <c r="F11" i="19"/>
  <c r="G9" i="53" s="1"/>
  <c r="C24" i="53" s="1"/>
  <c r="I19" i="19"/>
  <c r="C17" i="53" s="1"/>
  <c r="H20" i="19"/>
  <c r="H22" i="19" s="1"/>
  <c r="K17" i="53" l="1"/>
  <c r="N17" i="53" s="1"/>
  <c r="N18" i="53" s="1"/>
  <c r="N20" i="53" s="1"/>
  <c r="K25" i="53" s="1"/>
  <c r="F17" i="53"/>
  <c r="G4" i="53"/>
  <c r="C23" i="53" s="1"/>
  <c r="G16" i="2"/>
  <c r="I9" i="40"/>
  <c r="L19" i="19"/>
  <c r="L20" i="19" s="1"/>
  <c r="L22" i="19" s="1"/>
  <c r="E27" i="19" s="1"/>
  <c r="M11" i="19"/>
  <c r="J27" i="19" s="1"/>
  <c r="F16" i="19"/>
  <c r="F22" i="19" s="1"/>
  <c r="K27" i="19" l="1"/>
  <c r="O4" i="53"/>
  <c r="K23" i="53" s="1"/>
  <c r="L24" i="53" s="1"/>
  <c r="J33" i="21"/>
  <c r="F16" i="53"/>
  <c r="F18" i="53" s="1"/>
  <c r="F20" i="53" s="1"/>
  <c r="C25" i="53" s="1"/>
  <c r="D24" i="53" s="1"/>
  <c r="E18" i="53"/>
  <c r="E20" i="5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<sst xmlns="http://schemas.openxmlformats.org/spreadsheetml/2006/main" count="9125" uniqueCount="5362">
  <si>
    <t>City</t>
  </si>
  <si>
    <t>Compliant</t>
  </si>
  <si>
    <t>Car park must be for public use</t>
  </si>
  <si>
    <t>Score</t>
  </si>
  <si>
    <t>Remarks</t>
  </si>
  <si>
    <t>subtotal  car entry/exit</t>
  </si>
  <si>
    <t>M</t>
  </si>
  <si>
    <t>M.1</t>
  </si>
  <si>
    <t>M.2</t>
  </si>
  <si>
    <t>M.3</t>
  </si>
  <si>
    <t>M.4</t>
  </si>
  <si>
    <t>M.6</t>
  </si>
  <si>
    <t>B</t>
  </si>
  <si>
    <t>B.1</t>
  </si>
  <si>
    <t>B.2</t>
  </si>
  <si>
    <t>B.3</t>
  </si>
  <si>
    <t>B.4</t>
  </si>
  <si>
    <t>1.1</t>
  </si>
  <si>
    <t>1.2</t>
  </si>
  <si>
    <t>1.3</t>
  </si>
  <si>
    <t>1.4</t>
  </si>
  <si>
    <t>1.5</t>
  </si>
  <si>
    <t>1.6</t>
  </si>
  <si>
    <t>1.7</t>
  </si>
  <si>
    <t>1.8</t>
  </si>
  <si>
    <t>1.9</t>
  </si>
  <si>
    <t>2.1</t>
  </si>
  <si>
    <t>2.2</t>
  </si>
  <si>
    <t>2.3</t>
  </si>
  <si>
    <t>2.4</t>
  </si>
  <si>
    <t>2.5</t>
  </si>
  <si>
    <t>2.6</t>
  </si>
  <si>
    <t>2.7</t>
  </si>
  <si>
    <t>2.8</t>
  </si>
  <si>
    <t>3.1</t>
  </si>
  <si>
    <t>3.2</t>
  </si>
  <si>
    <t>3.3</t>
  </si>
  <si>
    <t>3.4</t>
  </si>
  <si>
    <t>3.5</t>
  </si>
  <si>
    <t>3.6</t>
  </si>
  <si>
    <t>3.7</t>
  </si>
  <si>
    <t>3.8</t>
  </si>
  <si>
    <t>3.9</t>
  </si>
  <si>
    <t>3.10</t>
  </si>
  <si>
    <t>1.10</t>
  </si>
  <si>
    <t>4.1</t>
  </si>
  <si>
    <t>4.2</t>
  </si>
  <si>
    <t>4.3</t>
  </si>
  <si>
    <t>4.4</t>
  </si>
  <si>
    <t>4.5</t>
  </si>
  <si>
    <t>4.6</t>
  </si>
  <si>
    <t>4.7</t>
  </si>
  <si>
    <t>4.8</t>
  </si>
  <si>
    <t>4.9</t>
  </si>
  <si>
    <t>4.10</t>
  </si>
  <si>
    <t>5.1</t>
  </si>
  <si>
    <t>5.2</t>
  </si>
  <si>
    <t>5.3</t>
  </si>
  <si>
    <t>5.4</t>
  </si>
  <si>
    <t>8.1</t>
  </si>
  <si>
    <t>8.2</t>
  </si>
  <si>
    <t>8.3</t>
  </si>
  <si>
    <t>9.1</t>
  </si>
  <si>
    <t>9.2</t>
  </si>
  <si>
    <t>9.3</t>
  </si>
  <si>
    <t>9.4</t>
  </si>
  <si>
    <t>9.5</t>
  </si>
  <si>
    <t>9.6</t>
  </si>
  <si>
    <t>9.7</t>
  </si>
  <si>
    <t>9.8</t>
  </si>
  <si>
    <t>9.9</t>
  </si>
  <si>
    <t>9.10</t>
  </si>
  <si>
    <t>10.1</t>
  </si>
  <si>
    <t>10.2</t>
  </si>
  <si>
    <t>10.3</t>
  </si>
  <si>
    <t>10.4</t>
  </si>
  <si>
    <t>10.5</t>
  </si>
  <si>
    <t>M.7</t>
  </si>
  <si>
    <t>10.6</t>
  </si>
  <si>
    <t>6.1</t>
  </si>
  <si>
    <t>6.2</t>
  </si>
  <si>
    <t>6.3</t>
  </si>
  <si>
    <t>Total unit measure of one way isle width and
depth of two parking bays, depending on parking angle and bay width:
Bay width: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Total unit measure as above qualifies for 3 points. 
Up to 30 cm less qualifies for 2 points
Up to 60 cm less qualifies for 1 point
More than 60 cm less: no points given</t>
  </si>
  <si>
    <t>EUROPEAN STANDARD PARKING AWARD</t>
  </si>
  <si>
    <t>Minimum headroom = 1.90 m, generally in the public areas. Incidental lower obstacles must be clearly marked.</t>
  </si>
  <si>
    <t>If the car park has paid parking and access control by barriers or gates, staff must be contactable at the pay point/exit point and secured pedestrian entries.</t>
  </si>
  <si>
    <t>All straight ramps for  unidirectional traffic must be minimum 2.7 metres wide. Bidirectional ramps must be at least 6m wide with lane markings. Ramp width is measured between walls or pillars</t>
  </si>
  <si>
    <t xml:space="preserve">Curved ramps for single directional traffic must have an external radius of minimum 8.00 metres with lane width of minimum 3.5 metres. For bidirectional curved ramps this applies for the inner driving lane. The outside driving lane must be minimum 3.5 metres wide as well. </t>
  </si>
  <si>
    <t>Receipt for payment must be provided when requested.</t>
  </si>
  <si>
    <t>3.11</t>
  </si>
  <si>
    <t>5.5</t>
  </si>
  <si>
    <t>5.6</t>
  </si>
  <si>
    <t>Measured value</t>
  </si>
  <si>
    <t>CCTV with notice at entrance = 3, No CCTV =0</t>
  </si>
  <si>
    <t>8.4</t>
  </si>
  <si>
    <t>8.5</t>
  </si>
  <si>
    <t>8.6</t>
  </si>
  <si>
    <t>8.7</t>
  </si>
  <si>
    <t>8.8</t>
  </si>
  <si>
    <t>10.7</t>
  </si>
  <si>
    <t>10.8</t>
  </si>
  <si>
    <t>10.9</t>
  </si>
  <si>
    <t>10.10</t>
  </si>
  <si>
    <t>Special treatment of cleaning water:
•  yes= 2, no= 0</t>
  </si>
  <si>
    <t xml:space="preserve">Grey water or re-use of rain water
•  yes= 2, no= 0
</t>
  </si>
  <si>
    <t>Car sharing and similar initiatives
•  yes= 2, no= 0</t>
  </si>
  <si>
    <t>Other environmental or zero emission  initiatives
•  yes= 2, no= 0</t>
  </si>
  <si>
    <t>Various points of criticism (to explain!)
[E.g. hollow sound, squeaking tyres, unintended visitors, etc.] up to -10</t>
  </si>
  <si>
    <t>B.5</t>
  </si>
  <si>
    <t>halfway parking space under/between light fitting</t>
  </si>
  <si>
    <t>edge of driveway under/between light fitting</t>
  </si>
  <si>
    <t>center of driveway under/between light fitting</t>
  </si>
  <si>
    <t>other edge of driveway under/between light fitting</t>
  </si>
  <si>
    <t>end of parking space under/between light fitting</t>
  </si>
  <si>
    <t>Mandatory Minimum Conditions</t>
  </si>
  <si>
    <t>OK</t>
  </si>
  <si>
    <t>Fail</t>
  </si>
  <si>
    <t>Ramp gradients must not exceed 20% , to be measured at the middle of driving lane.  At bidirectional curved ramps this applies for the inner (steepest) driving lane.</t>
  </si>
  <si>
    <t>There must be at least one dedicated entry and exit lane although additional tidal flow lanes are allowed.</t>
  </si>
  <si>
    <t>All turning movements must be capable of being completed without reversing (moving in/out the parking bay and cul-de-sacs excluded)</t>
  </si>
  <si>
    <t>Number of Fails:</t>
  </si>
  <si>
    <t>Not Evaluated:</t>
  </si>
  <si>
    <t>Auxiliary Grid for 2.8</t>
  </si>
  <si>
    <t>Global Evaluation</t>
  </si>
  <si>
    <t>Category</t>
  </si>
  <si>
    <t>Itens Completed</t>
  </si>
  <si>
    <t>Not measured</t>
  </si>
  <si>
    <t>Total Items</t>
  </si>
  <si>
    <t>Car Entry / Car Exit</t>
  </si>
  <si>
    <t>Rubber lip to prevent damage</t>
  </si>
  <si>
    <t>Yes</t>
  </si>
  <si>
    <t>No</t>
  </si>
  <si>
    <t>Daily opening hours:</t>
  </si>
  <si>
    <t>Operators terms &amp; conditions within the car park:</t>
  </si>
  <si>
    <t>Scale of tariffs:</t>
  </si>
  <si>
    <t>Design entry/exit area</t>
  </si>
  <si>
    <t>Entry ticket- machine easy to reach:</t>
  </si>
  <si>
    <t>Exit ticket- machine easy to reach:</t>
  </si>
  <si>
    <t>Longitudinal slope at the ticket machines</t>
  </si>
  <si>
    <t>Access security</t>
  </si>
  <si>
    <t>Barrier</t>
  </si>
  <si>
    <t>Intercom</t>
  </si>
  <si>
    <t>CCTV</t>
  </si>
  <si>
    <t>Licence Plate Recognition</t>
  </si>
  <si>
    <t>Full height fast closing gates</t>
  </si>
  <si>
    <t>Staffed access(Entry or exit)</t>
  </si>
  <si>
    <t>Exit: exit slope ends at least 5 meters before crossing traffic (pedestrians/cyclists):</t>
  </si>
  <si>
    <t>Parking Area</t>
  </si>
  <si>
    <t>6.4</t>
  </si>
  <si>
    <t>Good</t>
  </si>
  <si>
    <t>Medium</t>
  </si>
  <si>
    <t>Bad</t>
  </si>
  <si>
    <t xml:space="preserve">Routing and turn signs: Is signage clear, complete and unambiguous? </t>
  </si>
  <si>
    <t xml:space="preserve">Exit signs in the car park: Is signage clear, complete and unambiguous? </t>
  </si>
  <si>
    <t>Easy to see ?</t>
  </si>
  <si>
    <t>Parking bays are clearly marked ?</t>
  </si>
  <si>
    <t>Bay markings extend up walls to assist driver ?</t>
  </si>
  <si>
    <t>Height:
(The car park should receive one point for each 10cm of height above 1.90m up to 2.20 m)</t>
  </si>
  <si>
    <r>
      <t>Are Road Markings:</t>
    </r>
    <r>
      <rPr>
        <sz val="10"/>
        <color rgb="FF000000"/>
        <rFont val="Times New Roman"/>
        <family val="1"/>
      </rPr>
      <t/>
    </r>
  </si>
  <si>
    <t>Accessible for wheelchair ?</t>
  </si>
  <si>
    <t>Close to pedestrian exit ?</t>
  </si>
  <si>
    <t>Availability of spaces for disabled with wheelchair access anounced at the entrance the car park:</t>
  </si>
  <si>
    <t>Is this a Single level car park without vehicular ramps or ramper floor?</t>
  </si>
  <si>
    <t>Anti-Slip</t>
  </si>
  <si>
    <t>Smooth</t>
  </si>
  <si>
    <t>No Ramps</t>
  </si>
  <si>
    <t>Ramp surface between parking areas (Anti slip 1, Smooth 0, no ramps 1)</t>
  </si>
  <si>
    <t xml:space="preserve"> &lt;10%</t>
  </si>
  <si>
    <t xml:space="preserve"> 10-15%</t>
  </si>
  <si>
    <t>&gt;15%</t>
  </si>
  <si>
    <t>no ramps</t>
  </si>
  <si>
    <t>Ramp longitudinal gradient connecting ramps (not used for parking)
•  &lt;10%=3, 10-15%=1, &gt;15%=0, no ramps=3</t>
  </si>
  <si>
    <t>Curved ramps must be 1 m wider for same score. Are the ramps curbed?</t>
  </si>
  <si>
    <t>&lt; 3m</t>
  </si>
  <si>
    <t>3m - 3.3m</t>
  </si>
  <si>
    <t>&gt;3.3m</t>
  </si>
  <si>
    <t xml:space="preserve"> &lt;7.5m</t>
  </si>
  <si>
    <t>5% -7%</t>
  </si>
  <si>
    <t>Ramp curvature (external radius) curved ramps
•  up to 9m=0, 9–10 m=1, &gt;10m=2, no ramps=2
At dual way ramps this measure refers to the inner lane.</t>
  </si>
  <si>
    <t>Approach curve to straight ramps
•  &lt;7.5m=0, 7.5–9m=1, &gt;9m=2, no ramps=2</t>
  </si>
  <si>
    <t>Ramped parking floor longitudinal gradient
•  &lt;5%=3, 5-7 =1, &gt;7%=0, no gradient=3</t>
  </si>
  <si>
    <t>Pedestrian Access</t>
  </si>
  <si>
    <t>Security Equipment</t>
  </si>
  <si>
    <t>Confort and Miscellaneous</t>
  </si>
  <si>
    <t>Energy and Environment</t>
  </si>
  <si>
    <t>Minus Points</t>
  </si>
  <si>
    <t>Bonus Points</t>
  </si>
  <si>
    <t>&lt; 2.00m</t>
  </si>
  <si>
    <t>2.10m – 2.20m</t>
  </si>
  <si>
    <t>&gt; 2.20m</t>
  </si>
  <si>
    <t>2.00m – 2.10m</t>
  </si>
  <si>
    <t>Yes (automatic or open connection)</t>
  </si>
  <si>
    <t>Easy to Open</t>
  </si>
  <si>
    <t>Are pedestrian entrance doors easy to use?
(Yes, automatic or open connection = 4, Easy to open = 2, No = 0)</t>
  </si>
  <si>
    <t>Pedestrian access controlled by ticket/pass card when car park open (Yes=1, No=0)</t>
  </si>
  <si>
    <t>Every pedestrian exit</t>
  </si>
  <si>
    <t>One location</t>
  </si>
  <si>
    <t>City plan a central location in car park:
(On Every pedestrian exit = 2, One location = 1, No = 0)</t>
  </si>
  <si>
    <t>Guidance:</t>
  </si>
  <si>
    <t>Is this a Single level car park at ground floor, (not open surface) ?</t>
  </si>
  <si>
    <t>no elevator</t>
  </si>
  <si>
    <t>One elevator</t>
  </si>
  <si>
    <t>Two or more elevators</t>
  </si>
  <si>
    <t>Is there elevators serving street level?</t>
  </si>
  <si>
    <t>More Than 8 People</t>
  </si>
  <si>
    <t>4 to 8 people</t>
  </si>
  <si>
    <t>Less Than 4</t>
  </si>
  <si>
    <t>no visibility from elevator</t>
  </si>
  <si>
    <t>glazed doors/walls</t>
  </si>
  <si>
    <t>Level indication:</t>
  </si>
  <si>
    <t>in elevator:</t>
  </si>
  <si>
    <t>Irrelevant</t>
  </si>
  <si>
    <t>Clear View (Yes = 1, No = 0, Irrelevant = 1)</t>
  </si>
  <si>
    <t>Clear signing</t>
  </si>
  <si>
    <t>Incomplete signing</t>
  </si>
  <si>
    <t>No signing</t>
  </si>
  <si>
    <t>Above 5%</t>
  </si>
  <si>
    <t>0%-2%</t>
  </si>
  <si>
    <t>2%-5%</t>
  </si>
  <si>
    <t xml:space="preserve">Yes </t>
  </si>
  <si>
    <t>No protection</t>
  </si>
  <si>
    <t>No kerbs in entry/exit area</t>
  </si>
  <si>
    <t>Anti slip surfaces access/egress ramps:
(Anti slip = 1, Slippery when wet = 0)</t>
  </si>
  <si>
    <t>Anti slip</t>
  </si>
  <si>
    <t>Slippery when wet</t>
  </si>
  <si>
    <t>&lt; 3 m</t>
  </si>
  <si>
    <t>3m – 3.3m</t>
  </si>
  <si>
    <t>&gt; 3.3m</t>
  </si>
  <si>
    <t>Pillar does not intrude into the parking area</t>
  </si>
  <si>
    <t>Pillar at beginning of stall</t>
  </si>
  <si>
    <t>Pillar next to car door</t>
  </si>
  <si>
    <t>Pillar at back of stall but intrudes into the parking area</t>
  </si>
  <si>
    <t>Visibility (many/few dead corners, walls in the car park etc.)
Good=4, Medium=2 or Bad=0</t>
  </si>
  <si>
    <t>Angle  45°-75°</t>
  </si>
  <si>
    <t>Angle 76°-90°</t>
  </si>
  <si>
    <t>76-90</t>
  </si>
  <si>
    <t>45-75</t>
  </si>
  <si>
    <t>NA</t>
  </si>
  <si>
    <t xml:space="preserve"> 2.25 m - 2.30 m</t>
  </si>
  <si>
    <t xml:space="preserve"> 2.30 m - 2.35 m</t>
  </si>
  <si>
    <t xml:space="preserve"> 2.35 m - 2.40 m</t>
  </si>
  <si>
    <t xml:space="preserve"> 2.40 m - 2.45 m</t>
  </si>
  <si>
    <t xml:space="preserve"> 2.45 m - 2.50 m</t>
  </si>
  <si>
    <t xml:space="preserve"> above 2.50 m</t>
  </si>
  <si>
    <t>Compliant with the table</t>
  </si>
  <si>
    <t>Up to 30 cm less</t>
  </si>
  <si>
    <t>Up to 60 cm less</t>
  </si>
  <si>
    <t>More than 60 cm less</t>
  </si>
  <si>
    <t>Emergency door, standard open (Yes=2, No= 0)</t>
  </si>
  <si>
    <t>Visibility (Glazed door/wall = 3, No Glass = 0)</t>
  </si>
  <si>
    <t>&lt; 90 cm</t>
  </si>
  <si>
    <t>Glazed door/wall</t>
  </si>
  <si>
    <t>No Glass</t>
  </si>
  <si>
    <t>Width (&lt; 1.5 m = 0, &gt; 1.5m = 2)</t>
  </si>
  <si>
    <t>Hand Rails (No hand rail =0, One Side = 1, Two sides=2)</t>
  </si>
  <si>
    <t>Heightened visibility of steps for people with poor eyesight (Yes = 2, No = 0)</t>
  </si>
  <si>
    <t>Anti-slip surfacing on stairs: (Yes = 2, No = 0)</t>
  </si>
  <si>
    <t>&lt; 1.5 m</t>
  </si>
  <si>
    <t>&gt; 1.5 m</t>
  </si>
  <si>
    <t>No hand rail</t>
  </si>
  <si>
    <t>One Side</t>
  </si>
  <si>
    <t>Two sides</t>
  </si>
  <si>
    <t>none</t>
  </si>
  <si>
    <t>window/grilled</t>
  </si>
  <si>
    <t>Escalators and/or travellators
(To/from all levels =5, To/from some levels =3, No Escalators or Travellators = 0)</t>
  </si>
  <si>
    <t>To/from all levels</t>
  </si>
  <si>
    <t>To/from some levels</t>
  </si>
  <si>
    <t>No Escalators or Travellator</t>
  </si>
  <si>
    <t>to key attractions around the car park at pedestrian exit (Yes=1, No=0):</t>
  </si>
  <si>
    <t>around the car park to pedestrian entrances (Yes=1, No=0):</t>
  </si>
  <si>
    <t>Maximum Score</t>
  </si>
  <si>
    <t>Vehicular entry area; at floor level
•  Above 200 Lux = 5;
•  Between 75– 200 Lux: 0,04 pt per Lux over 75  
•  Below 75 Lux = 0</t>
  </si>
  <si>
    <t>Entry; at 1 m height near ticket-machine
•  Above 200 Lux = 3;
•  Between100– 200 Lux: 0,03 pt per Lux over 100
•  Below 100 Lux = 0</t>
  </si>
  <si>
    <t>Exit; at 1 m height near barrier/ticket-machine
•  Above 200 Lux = 3;
•  Between100– 200 Lux: 0,03 pt per Lux over 100
•  Below 100 Lux= 0</t>
  </si>
  <si>
    <t>In elevator; at floor level
•  Above 70 Lux = 4;
•  Between30– 70 Lux: 0,1 pt per Lux over 30
•  Below 30 Lux = 0;
•  Single level without elevator = 3</t>
  </si>
  <si>
    <t>In staircases and all other exclusive pedestrian routes; at floor level
•  Above 90 Lux = 3;
•  Between30– 90 Lux: 0,05 pt per Lux over 30
•  Below 30 Lux = 0;</t>
  </si>
  <si>
    <t>Item List</t>
  </si>
  <si>
    <t>Total Items + SubItems</t>
  </si>
  <si>
    <t>Bays minimum 3.5 m wide ?</t>
  </si>
  <si>
    <r>
      <t>Parking angle at 85 % of bays:
(Angle 76-90°</t>
    </r>
    <r>
      <rPr>
        <sz val="6"/>
        <color rgb="FF000000"/>
        <rFont val="Arial"/>
        <family val="2"/>
      </rPr>
      <t xml:space="preserve"> </t>
    </r>
    <r>
      <rPr>
        <sz val="10"/>
        <color rgb="FF000000"/>
        <rFont val="Arial"/>
        <family val="2"/>
      </rPr>
      <t>= 0, Angle  45-75°</t>
    </r>
    <r>
      <rPr>
        <sz val="6"/>
        <color rgb="FF000000"/>
        <rFont val="Arial"/>
        <family val="2"/>
      </rPr>
      <t xml:space="preserve"> </t>
    </r>
    <r>
      <rPr>
        <sz val="10"/>
        <color rgb="FF000000"/>
        <rFont val="Arial"/>
        <family val="2"/>
      </rPr>
      <t>= 2)</t>
    </r>
  </si>
  <si>
    <r>
      <t xml:space="preserve">Width of bays (85 % of bays), A or B: 
A: Parking angle 76 – 90 degrees
(2.25m = -5, 2.30m = 0, 2.35m = 2, 2.40m = 4, 2.45m = 6, 2.50m = 8) 
B: Parking angle 45-75 degrees
(2.25m = -5, 2.30m = 1, 2.35m = 3, 2.40m = 5, 2.45m = 8)
</t>
    </r>
    <r>
      <rPr>
        <b/>
        <sz val="10"/>
        <color rgb="FF000000"/>
        <rFont val="Arial"/>
        <family val="2"/>
      </rPr>
      <t>Width of 2.25m only applies for renovated car parks, new car parks must be minimum 2.30m</t>
    </r>
  </si>
  <si>
    <t>Kerb design to avoid damage to average vehicle’s wheels
•  Yes = 2, No protection = 0</t>
  </si>
  <si>
    <t>Car Entry: Yes =1, No =0</t>
  </si>
  <si>
    <t xml:space="preserve"> Car Exit: Yes =1, No =0</t>
  </si>
  <si>
    <t>Pay Machine: Yes =1, No =0</t>
  </si>
  <si>
    <t>Elevator Hall, every level: Yes =1, No =0</t>
  </si>
  <si>
    <t>Stairwells, every level: Yes =1, No =0</t>
  </si>
  <si>
    <t>Pedestrian Entrances: Yes =1, No =0</t>
  </si>
  <si>
    <t>Most of Parking Area (65%):Yes =3, No =0</t>
  </si>
  <si>
    <t xml:space="preserve"> Ramps: Yes = 1, No = 0</t>
  </si>
  <si>
    <t>CCTV at:</t>
  </si>
  <si>
    <t>Intercom at pay machine and/or controlled entries (24/7=3, All access hours if not 24/7= 2, Part time/not available = 0)</t>
  </si>
  <si>
    <t>Staff contactable via:</t>
  </si>
  <si>
    <t>Emergency call system in parking area (24/7=3, All access hours if not 24/7= 2, Part time/not available = 0)</t>
  </si>
  <si>
    <t>Part time/not available</t>
  </si>
  <si>
    <t>24*7</t>
  </si>
  <si>
    <t>All access hours if not 24*7</t>
  </si>
  <si>
    <t>Less than access Hours</t>
  </si>
  <si>
    <t>During access Hours</t>
  </si>
  <si>
    <t>Recognizable staff present and patrolling car park
(24/7 = 3, During access Hours = 2, Less than access Hours = 1, No = 0)</t>
  </si>
  <si>
    <t>Closed gate/rolling shutter  after access hours</t>
  </si>
  <si>
    <t>Secured: fast opening gate during day</t>
  </si>
  <si>
    <t>No provisions</t>
  </si>
  <si>
    <t>Secured: slow opening gate during day</t>
  </si>
  <si>
    <t>Lockable vehicle exit/entry: 
(Closed gate/rolling shutter  after access hours = 2, Secured: fast opening gate during day = 4, Secured: slow opening gate during day = 2, No provisions = 0)</t>
  </si>
  <si>
    <t>no provisions</t>
  </si>
  <si>
    <t>Irrelevant (24 hours opening)</t>
  </si>
  <si>
    <t>Maximum Aperture Door/gate/rolling shutter &lt;= 15cm</t>
  </si>
  <si>
    <t>Maximum Aperture Door/gate/rolling shutter &gt; 15cm</t>
  </si>
  <si>
    <t>Staff surveillance (on-site or remote)
•  Yes = 5, No = 0</t>
  </si>
  <si>
    <t>Grilles on external openings &amp; security grilles
(&lt;= 15 cm = 2, &gt; 15 cm or no protection= 0, Irrelevant (no external openings) = 2)</t>
  </si>
  <si>
    <t>&lt;= 15 cm</t>
  </si>
  <si>
    <t>Irrelevant (no external openings)</t>
  </si>
  <si>
    <t>&gt;15 cm or no protection</t>
  </si>
  <si>
    <t>Parking floor level (yes/good = 2, no/bad = 0)</t>
  </si>
  <si>
    <t>Parking row (yes/good = 1, no/bad = 0)</t>
  </si>
  <si>
    <t>Individual stall indication (yes/good = 2, no/bad = 0)</t>
  </si>
  <si>
    <t>No/Bad</t>
  </si>
  <si>
    <t>Yes/Good</t>
  </si>
  <si>
    <t>Adequate</t>
  </si>
  <si>
    <t>Poor</t>
  </si>
  <si>
    <t>Way finding (vehicles)</t>
  </si>
  <si>
    <t>Are floors clearly and separately identified for drivers? (Good =3, Adequate =2, Poor =1, No =0)</t>
  </si>
  <si>
    <t>Are sub-areas of floors clearly identified for drivers? (Good =3, Adequate =2, Poor =1, No =0)</t>
  </si>
  <si>
    <t>Clear from all locations</t>
  </si>
  <si>
    <t>Clear from most locations</t>
  </si>
  <si>
    <t>Clear from some locations</t>
  </si>
  <si>
    <t>No marking of escape routes</t>
  </si>
  <si>
    <t>None</t>
  </si>
  <si>
    <t>Single Level Car Park</t>
  </si>
  <si>
    <t>Some</t>
  </si>
  <si>
    <t>Is there additional signing or prompts to orient the pedestrian on the parking deck
(good =2, some =1, none = 0)</t>
  </si>
  <si>
    <t>Are parking spaces individually numbered
(Numbered including floor identification =2, Just numbers =1, none =0)</t>
  </si>
  <si>
    <t>Numbered including floor identification</t>
  </si>
  <si>
    <t>Just numbers</t>
  </si>
  <si>
    <t>Localisation of parked cars by ticket or license plate
(Yes= 1, No= 0)</t>
  </si>
  <si>
    <t>Use of colours for  way finding
(Yes= 1, No= 0)</t>
  </si>
  <si>
    <t>Guidance sign posting for cars on roads to car park</t>
  </si>
  <si>
    <t>Static sign system only (Yes = 1, No = 0)</t>
  </si>
  <si>
    <t>Dynamic sign system additionally (Yes = 1, No = 0)</t>
  </si>
  <si>
    <t>Illuminated signage at car park entrance</t>
  </si>
  <si>
    <t>Signal green arrow, red cross for direction (Yes = 1, No = 0)</t>
  </si>
  <si>
    <t>Signal full/free (Yes = 1, No = 0)</t>
  </si>
  <si>
    <t>Signage at pedestrian entrance (Yes = 1, No = 0)</t>
  </si>
  <si>
    <t>Access hours normal/special (yes = 1, no = 0)</t>
  </si>
  <si>
    <t>Readable &amp; understandable tariff board (yes = 1, no = 0)</t>
  </si>
  <si>
    <t>Operators terms and conditions (yes = 1, no = 0)</t>
  </si>
  <si>
    <r>
      <t>Payment options (pay at exit/pay at pay station):</t>
    </r>
    <r>
      <rPr>
        <sz val="10"/>
        <color rgb="FF000000"/>
        <rFont val="Arial"/>
        <family val="2"/>
      </rPr>
      <t/>
    </r>
  </si>
  <si>
    <t>Accepts coins? (yes =1, no =0)</t>
  </si>
  <si>
    <t>Change given? (yes =1, no =0)</t>
  </si>
  <si>
    <t>Accepts bank cards?  (yes =1, no =0)</t>
  </si>
  <si>
    <t>Accepts banknotes?  (yes =1, no =0)</t>
  </si>
  <si>
    <t>Payment by smart phone? (yes =1, no =0)</t>
  </si>
  <si>
    <t>Payment by card/phone at exit? (yes =1, no =0)</t>
  </si>
  <si>
    <t>ID &amp; payment by LPR? (yes =1, no =0)</t>
  </si>
  <si>
    <t>Accepts other cards: How many? (1 point per additional option up to 3)</t>
  </si>
  <si>
    <t>1</t>
  </si>
  <si>
    <t>0</t>
  </si>
  <si>
    <t>2</t>
  </si>
  <si>
    <t>3 or more</t>
  </si>
  <si>
    <t>Payment at staffed desk: (yes = 1, no = 0)</t>
  </si>
  <si>
    <t>Is this a Pay and Display Car Park?</t>
  </si>
  <si>
    <t>One pay station</t>
  </si>
  <si>
    <t>More than one</t>
  </si>
  <si>
    <t>One at each pedestrian entrance</t>
  </si>
  <si>
    <t>Number of Pay points for Pay and Display Car Parks
(One =0, &lt; 1 for every 50 spaces =2, &gt;1 for every 50 spaces =3)</t>
  </si>
  <si>
    <t>One</t>
  </si>
  <si>
    <t>&lt; 1 for every 50 spaces</t>
  </si>
  <si>
    <t>&gt;1 for every 50 spaces</t>
  </si>
  <si>
    <t>Customer toilets:</t>
  </si>
  <si>
    <t>Exist? (yes= 2, no= 0)</t>
  </si>
  <si>
    <t>Disabled toilet? (yes=1, no= 0)</t>
  </si>
  <si>
    <t>unisex = 0, male/female separated = 1</t>
  </si>
  <si>
    <t>Unisex</t>
  </si>
  <si>
    <t>Male/Female Separated</t>
  </si>
  <si>
    <t>attendant: yes=1, no= 0</t>
  </si>
  <si>
    <r>
      <t>Use of colours/ embellishing works</t>
    </r>
    <r>
      <rPr>
        <sz val="10"/>
        <color rgb="FF000000"/>
        <rFont val="Arial"/>
        <family val="2"/>
      </rPr>
      <t/>
    </r>
  </si>
  <si>
    <t>Coloured pillars =1, no/concrete grey = 0</t>
  </si>
  <si>
    <t>Coloured walls =1, no/concrete grey = 0</t>
  </si>
  <si>
    <t>Coloured pillars</t>
  </si>
  <si>
    <t>Coloured walls</t>
  </si>
  <si>
    <t>No/Concrete grey</t>
  </si>
  <si>
    <r>
      <t>E</t>
    </r>
    <r>
      <rPr>
        <sz val="10"/>
        <color rgb="FF000000"/>
        <rFont val="Arial"/>
        <family val="2"/>
      </rPr>
      <t>x</t>
    </r>
    <r>
      <rPr>
        <sz val="10"/>
        <color rgb="FF000000"/>
        <rFont val="Arial"/>
        <family val="2"/>
      </rPr>
      <t>t</t>
    </r>
    <r>
      <rPr>
        <sz val="10"/>
        <color rgb="FF000000"/>
        <rFont val="Arial"/>
        <family val="2"/>
      </rPr>
      <t>r</t>
    </r>
    <r>
      <rPr>
        <sz val="10"/>
        <color rgb="FF000000"/>
        <rFont val="Arial"/>
        <family val="2"/>
      </rPr>
      <t>a</t>
    </r>
    <r>
      <rPr>
        <sz val="10"/>
        <color rgb="FF000000"/>
        <rFont val="Arial"/>
        <family val="2"/>
      </rPr>
      <t xml:space="preserve"> </t>
    </r>
    <r>
      <rPr>
        <sz val="10"/>
        <color rgb="FF000000"/>
        <rFont val="Arial"/>
        <family val="2"/>
      </rPr>
      <t>e</t>
    </r>
    <r>
      <rPr>
        <sz val="10"/>
        <color rgb="FF000000"/>
        <rFont val="Arial"/>
        <family val="2"/>
      </rPr>
      <t>m</t>
    </r>
    <r>
      <rPr>
        <sz val="10"/>
        <color rgb="FF000000"/>
        <rFont val="Arial"/>
        <family val="2"/>
      </rPr>
      <t>be</t>
    </r>
    <r>
      <rPr>
        <sz val="10"/>
        <color rgb="FF000000"/>
        <rFont val="Arial"/>
        <family val="2"/>
      </rPr>
      <t>l</t>
    </r>
    <r>
      <rPr>
        <sz val="10"/>
        <color rgb="FF000000"/>
        <rFont val="Arial"/>
        <family val="2"/>
      </rPr>
      <t>l</t>
    </r>
    <r>
      <rPr>
        <sz val="10"/>
        <color rgb="FF000000"/>
        <rFont val="Arial"/>
        <family val="2"/>
      </rPr>
      <t>i</t>
    </r>
    <r>
      <rPr>
        <sz val="10"/>
        <color rgb="FF000000"/>
        <rFont val="Arial"/>
        <family val="2"/>
      </rPr>
      <t>s</t>
    </r>
    <r>
      <rPr>
        <sz val="10"/>
        <color rgb="FF000000"/>
        <rFont val="Arial"/>
        <family val="2"/>
      </rPr>
      <t>h</t>
    </r>
    <r>
      <rPr>
        <sz val="10"/>
        <color rgb="FF000000"/>
        <rFont val="Arial"/>
        <family val="2"/>
      </rPr>
      <t>m</t>
    </r>
    <r>
      <rPr>
        <sz val="10"/>
        <color rgb="FF000000"/>
        <rFont val="Arial"/>
        <family val="2"/>
      </rPr>
      <t>ent</t>
    </r>
    <r>
      <rPr>
        <sz val="10"/>
        <color rgb="FF000000"/>
        <rFont val="Times New Roman"/>
        <family val="1"/>
      </rPr>
      <t/>
    </r>
  </si>
  <si>
    <t>Planters: (Yes = 1, No = 0)</t>
  </si>
  <si>
    <t xml:space="preserve"> Artwork: (Yes = 2, No = 0)</t>
  </si>
  <si>
    <t>Other: (Yes = 1, No = 0)</t>
  </si>
  <si>
    <t>Mobile phone coverage (Yes = 2, No = 0)</t>
  </si>
  <si>
    <t>Continuity of radio signals (Yes = 1, No = 0)</t>
  </si>
  <si>
    <t>Background music: yes = 2, No = 0</t>
  </si>
  <si>
    <t>Differentiation for way finding :  yes =1, No = 0</t>
  </si>
  <si>
    <t>Music</t>
  </si>
  <si>
    <t>Power Factor Compensation (Yes=1, No=0)</t>
  </si>
  <si>
    <t>Energy Saving Lighting Systems</t>
  </si>
  <si>
    <t>Solar panels on the roof or other green energy initiatives (yes= 2, no= 0)</t>
  </si>
  <si>
    <t>Adaptable lighting for ambient light conditions at parking floor from daylight
(yes= 2, no= 0, Irrelevant (below ground) =2)</t>
  </si>
  <si>
    <t>More than one recharging point</t>
  </si>
  <si>
    <t>One recharging point</t>
  </si>
  <si>
    <t>Electric Vehicles recharging points: (Yes, more than one= 2, One recharging point=1, None=0)</t>
  </si>
  <si>
    <t>Presence of Graffiti</t>
  </si>
  <si>
    <t>Stairwells (Yes= -2, No= 0)</t>
  </si>
  <si>
    <t>Elevator (Yes= -2, No= 0)</t>
  </si>
  <si>
    <t>Toilets (Yes= -2, No= 0)</t>
  </si>
  <si>
    <t>Parking area (Yes= -2, No= 0)</t>
  </si>
  <si>
    <t>Outside walls (Yes= -2, No= 0)</t>
  </si>
  <si>
    <t>Presence of dirt</t>
  </si>
  <si>
    <t>Outside of entrance for pedestrians + cars (Yes= -2, No= 0)</t>
  </si>
  <si>
    <t>Poor quality of paint work</t>
  </si>
  <si>
    <t>Poor quality horizontal markings (Yes= -2, No= 0)</t>
  </si>
  <si>
    <t xml:space="preserve">Poor quality/lack of maintenance (pot holes ,damages) </t>
  </si>
  <si>
    <t>Floors (Yes= -2, No= 0)</t>
  </si>
  <si>
    <t>Walls (Yes= -2, No= 0)</t>
  </si>
  <si>
    <t>Evidence of standing water (Yes= -2, No= 0)</t>
  </si>
  <si>
    <t>Evidence of bad smells</t>
  </si>
  <si>
    <t>Elevators (Yes= -2, No= 0)</t>
  </si>
  <si>
    <t>Parking deck (Yes= -2, No= 0)</t>
  </si>
  <si>
    <t>Over 15% of parking spaces in cul-de-sac without occupancy indication. (Yes= -5, No=0)</t>
  </si>
  <si>
    <t>Extra provisions in car park</t>
  </si>
  <si>
    <t>Special motorcycle area (Yes= 1, No= 0)</t>
  </si>
  <si>
    <t>Lockers for customers’ use (Yes= 1, No= 0)</t>
  </si>
  <si>
    <t>Other aids (Yes= 1, No= 0)</t>
  </si>
  <si>
    <t>Bicycle rent (Yes= 1, No= 0)</t>
  </si>
  <si>
    <t>Other Driver Assistance (Yes= 1, No= 0)</t>
  </si>
  <si>
    <t>Vending Machines (Yes= 1, No= 0)</t>
  </si>
  <si>
    <t>Heart Defibrillator (Yes= 1, No= 0)</t>
  </si>
  <si>
    <t>First aid trained staff (Yes= 1, No= 0)</t>
  </si>
  <si>
    <t>Real time traffic data (Yes= 1, No= 0)</t>
  </si>
  <si>
    <t>Other real time accessible information (e.g. local events) (Yes= 1, No= 0)</t>
  </si>
  <si>
    <t>Measures to avoid traffic queues at peak hours (i.e. tidal lane at car entry/exit) - (Yes= 3, No= 0)</t>
  </si>
  <si>
    <t>Turn around possibility for cars before height barrier or full sign to prevent reversing (Yes= 3, No= 0)</t>
  </si>
  <si>
    <t>Customer service desk (Yes= 1, No= 0)</t>
  </si>
  <si>
    <t>Number of Items</t>
  </si>
  <si>
    <t>Number of Oks</t>
  </si>
  <si>
    <t>Number of Fails</t>
  </si>
  <si>
    <t>Status</t>
  </si>
  <si>
    <t>To be Completed</t>
  </si>
  <si>
    <t>% Completion:</t>
  </si>
  <si>
    <t>Totals</t>
  </si>
  <si>
    <t>External openings in stairwell
(window/grilled to outside or car park  =2, none =0)</t>
  </si>
  <si>
    <t>Wayfinding Inside and Outside</t>
  </si>
  <si>
    <t>English</t>
  </si>
  <si>
    <t>Country</t>
  </si>
  <si>
    <t>Name of Car Park</t>
  </si>
  <si>
    <t>Language</t>
  </si>
  <si>
    <t>Language List</t>
  </si>
  <si>
    <t>Address</t>
  </si>
  <si>
    <t>Date</t>
  </si>
  <si>
    <t>Number of Spaces</t>
  </si>
  <si>
    <t>Operator</t>
  </si>
  <si>
    <t>Contact Name</t>
  </si>
  <si>
    <t>e-Mail</t>
  </si>
  <si>
    <t>Phone</t>
  </si>
  <si>
    <t>Judged by</t>
  </si>
  <si>
    <t>Evaluation Conditions</t>
  </si>
  <si>
    <t>Time of Day</t>
  </si>
  <si>
    <t>Weather Conditions</t>
  </si>
  <si>
    <t>Occupancy Rate</t>
  </si>
  <si>
    <t>Morning</t>
  </si>
  <si>
    <t>Afternoon</t>
  </si>
  <si>
    <t>Evening</t>
  </si>
  <si>
    <t>Sunny</t>
  </si>
  <si>
    <t>Cloudy</t>
  </si>
  <si>
    <t>Rain</t>
  </si>
  <si>
    <t>Dusk</t>
  </si>
  <si>
    <t>Night</t>
  </si>
  <si>
    <t xml:space="preserve"> &gt; 75%</t>
  </si>
  <si>
    <t>&lt; 25%</t>
  </si>
  <si>
    <t xml:space="preserve"> 50% - 75%</t>
  </si>
  <si>
    <t xml:space="preserve"> about 50%</t>
  </si>
  <si>
    <t xml:space="preserve"> 25% - 50%  </t>
  </si>
  <si>
    <t>Completed</t>
  </si>
  <si>
    <t>Incompleted</t>
  </si>
  <si>
    <t>Comments</t>
  </si>
  <si>
    <t>Number of Ok:</t>
  </si>
  <si>
    <t>Pass</t>
  </si>
  <si>
    <t>Item List (values in Lux, see user manual for measurement)</t>
  </si>
  <si>
    <t>Contribuition for Final Score</t>
  </si>
  <si>
    <t>% Obtained</t>
  </si>
  <si>
    <t>Category Points</t>
  </si>
  <si>
    <t>Points Obtained</t>
  </si>
  <si>
    <t>Category Value</t>
  </si>
  <si>
    <t>Maximum Contribuition for Final Score</t>
  </si>
  <si>
    <t>Percentage</t>
  </si>
  <si>
    <t>Vehicle Ramps</t>
  </si>
  <si>
    <t>Kerb design to avoid damage to average vehicle’s wheels:
(Yes = 2, No protection = 0, No kerbs in entry/exit area = 2)</t>
  </si>
  <si>
    <t>Entry/Exit of the building: width between structure (per lane)
(&lt; 3 m =0, 3 – 3.3 m =1, &gt; 3.3 m = 2)</t>
  </si>
  <si>
    <t>Points:</t>
  </si>
  <si>
    <t>Tabelas Auxiliares</t>
  </si>
  <si>
    <t>6.10</t>
  </si>
  <si>
    <t>6.9</t>
  </si>
  <si>
    <t>6.8</t>
  </si>
  <si>
    <t>6.7</t>
  </si>
  <si>
    <t>6.11</t>
  </si>
  <si>
    <t>6.12</t>
  </si>
  <si>
    <t>6.13</t>
  </si>
  <si>
    <t>Separate walking route (i.e. heightened; zebra stripes or colours) (yes = 2, no = 0)</t>
  </si>
  <si>
    <t>Number of Elevators at street level:
(1 elevator = 1, 2 + elevators = 5)</t>
  </si>
  <si>
    <t>Size of elevators:
(More Than 8 people = 3, 4-8 people = 1, less than 4 = 0)</t>
  </si>
  <si>
    <t>Visibility from elevator inside to hall/parking area
(no visibility from elevator = 0, glazed doors/walls = 3, no elevator = 0)</t>
  </si>
  <si>
    <t>Elevator control buttons at wheelchair height
•  Yes = 1, Other = 0</t>
  </si>
  <si>
    <t>Doors directly to parking area</t>
  </si>
  <si>
    <t>Stairwells (visibility and orientation)</t>
  </si>
  <si>
    <t>Level Indication (Yes = 1, No = 0, Irrelevant = 1)</t>
  </si>
  <si>
    <t>Are elevators the main vertical connection? (stairs only secondary or escape)</t>
  </si>
  <si>
    <t>&gt;= 90 cm</t>
  </si>
  <si>
    <t>Width (&lt;90 cm =0, &gt;=90 cm = 2)</t>
  </si>
  <si>
    <t>in elevator foyer:</t>
  </si>
  <si>
    <t>7.1</t>
  </si>
  <si>
    <t>7.2</t>
  </si>
  <si>
    <t>7.3</t>
  </si>
  <si>
    <t>7.4</t>
  </si>
  <si>
    <t>7.5</t>
  </si>
  <si>
    <t>7.6</t>
  </si>
  <si>
    <t>7.7</t>
  </si>
  <si>
    <t>7.8</t>
  </si>
  <si>
    <t>Lockable pedestrian exit/entry (after opening hours).
(Door/gate/rolling shutter &lt;= 15cm maximum aperture = 2, over 15 cm = 0, no provisions = 0, Irrelevant (24 hours opening) = 2)</t>
  </si>
  <si>
    <t>8.9</t>
  </si>
  <si>
    <t>M.5</t>
  </si>
  <si>
    <t>B.6</t>
  </si>
  <si>
    <t>B.7</t>
  </si>
  <si>
    <t>Minimum</t>
  </si>
  <si>
    <t>Categories Minimum Points</t>
  </si>
  <si>
    <t>Incomplete</t>
  </si>
  <si>
    <t>Subtotals</t>
  </si>
  <si>
    <t>Minimum Requirement for ESPA Award</t>
  </si>
  <si>
    <t>Espa Award</t>
  </si>
  <si>
    <t>Auxiliar for 5.3</t>
  </si>
  <si>
    <t>&lt; 4m</t>
  </si>
  <si>
    <t>4m - 4.3m</t>
  </si>
  <si>
    <t>&gt;4.3m</t>
  </si>
  <si>
    <t>&lt; 9m</t>
  </si>
  <si>
    <t>9m – 10m</t>
  </si>
  <si>
    <t>&gt;10m</t>
  </si>
  <si>
    <t>7.5m – 9m</t>
  </si>
  <si>
    <t>&gt;9m</t>
  </si>
  <si>
    <t>&lt;5%</t>
  </si>
  <si>
    <t>&gt;7%</t>
  </si>
  <si>
    <t>no gradient</t>
  </si>
  <si>
    <t>Other positive points e.g. extra services, friendly staff, tiled walls/floors, good fit of the car park in cityscape etc up to ten additional bonus points. To be explicitly identified.</t>
  </si>
  <si>
    <t>Number of Pay points for Barrier controlled car parks:
(One pay station = 0,  More than one =1, One at each pedestrian entrance, excluding fire escapes =2, More than one at each pedestrian entrance =3)</t>
  </si>
  <si>
    <t>More than one at each pedestrian entrance</t>
  </si>
  <si>
    <t>Light levels on parking area at floor level: (plesase fill grid below) 
Average light level of grid:
•  Above 100 Lux= 10;
•  Between20– 100 Lux: 0,125 pt per Lux over 20 
•  Below 20 Lux= 0</t>
  </si>
  <si>
    <t>Taal</t>
  </si>
  <si>
    <t>Datum</t>
  </si>
  <si>
    <t>Land</t>
  </si>
  <si>
    <t>Naam van de garage</t>
  </si>
  <si>
    <t>Adres</t>
  </si>
  <si>
    <t>Stad</t>
  </si>
  <si>
    <t>Aantal parkeerplaatsen</t>
  </si>
  <si>
    <t>Exploitant</t>
  </si>
  <si>
    <t>Contactpersoon</t>
  </si>
  <si>
    <t>e-mail</t>
  </si>
  <si>
    <t>Telefoon nummer</t>
  </si>
  <si>
    <t>Beoordeeld door:</t>
  </si>
  <si>
    <t>Condities tijdens de beoordeling</t>
  </si>
  <si>
    <t>tijdstip</t>
  </si>
  <si>
    <t>Weersomstandigheden</t>
  </si>
  <si>
    <t>Bezetting van de garage</t>
  </si>
  <si>
    <t>Verplichte minimum eisen</t>
  </si>
  <si>
    <t>Garage moet publiek toegankelijk zijn</t>
  </si>
  <si>
    <t>Minimale inrijhoogte 1,90 m. Incidentele plaatsen met lagere hoogte moeten duidelijk gemarkeerd zijn.</t>
  </si>
  <si>
    <t>70% van de parkeervakken moet minstens 2.30m breed zijn. Voor gerenoveerde garages, ouder dan tien jaar is een minimum breedte van 2.25m toegestaan. In dergelijke gevallen worden vijf punten in mindering gebracht, die elders gecompenseerd moeten worden</t>
  </si>
  <si>
    <t>De buitenkant van een gebogen helling met eenrichtingsverkeer moet een straal van minstens 8 meter hebben met een rijstrook van minstens 3,5 meter breed. Bij hellingen met twee richtingsverkeer geldt dit voor de binnenste rijstrook.De buitenste rijstrook moet ook minstens 3,5 meter breed zijn.</t>
  </si>
  <si>
    <t>Hellingbanen mogen niet steiler zijn dan 20%, gemeten in het midden van de rijbaan. Bij gebogen hellingen voor twee richtingsverkeer geldt dit voor de binnenste rijstrook.</t>
  </si>
  <si>
    <t>Als de garage is uitgerust met slagbomen of afsluitpoorten voor betaald parkeren, moeten bij de betaalautomaten, uitritten en beveiligde toegangen voor voetgangers een intercom aanwezig zijn.</t>
  </si>
  <si>
    <t>Op verzoek moet een kwitantie voor de betaling worden verstrekt.</t>
  </si>
  <si>
    <t>Alle voertuigbewegingen in de garage moeten zonder achteruitsteken uitgevoerd kunnen worden. (uitgezonderd in- en uitdraaien van een parkeervak en doodlopende rijstroken).</t>
  </si>
  <si>
    <t>Verlichting</t>
  </si>
  <si>
    <t>Omschrijving (waardes in Lux)</t>
  </si>
  <si>
    <t>Aanvullend stramien voor 2.8</t>
  </si>
  <si>
    <t>Einde parkeervak, onder/tussen verlichtlingsarmatuur</t>
  </si>
  <si>
    <t>Halverwege parkeervak, onder/tussen verlichtlingsarmatuur</t>
  </si>
  <si>
    <t>Begin parkeervak/rand rijbaan, onder/tussen verlichtlingsarmatuur</t>
  </si>
  <si>
    <t>Midden rijbaan, onder/tussen verlichtlingsarmatuur</t>
  </si>
  <si>
    <t>Rand rijbaan/begin parkeervak overzijde, onder/tussen verlichtlingsarmatuur</t>
  </si>
  <si>
    <t>In- en uitrit</t>
  </si>
  <si>
    <t>Inrijhoogte aangegeven bij de inrit</t>
  </si>
  <si>
    <t>Bord overeenkomstig RVV</t>
  </si>
  <si>
    <t>Hoogtebalk</t>
  </si>
  <si>
    <t>Rubber strip onderzijde hoogtebalk</t>
  </si>
  <si>
    <t>Inrijhoogte: de garage krijgt één punt voor elke 10cm inrijhoogte boven 1.9m tot 2.2 m</t>
  </si>
  <si>
    <t>Informatie bij de inrit:</t>
  </si>
  <si>
    <t>Informatie algemene voorwaarden</t>
  </si>
  <si>
    <t xml:space="preserve">Dagelijkse opening- en sluitingstijd </t>
  </si>
  <si>
    <t>Tarieftabel</t>
  </si>
  <si>
    <t>Duidelijkheid van het tariefsysteem</t>
  </si>
  <si>
    <t>Ontwerp van de in- en uitrit</t>
  </si>
  <si>
    <t>Inrijzuil gemakkelijk bereikbaar</t>
  </si>
  <si>
    <t>Uitrijzuil gemakkelijk bereikbaar</t>
  </si>
  <si>
    <t>Is er een helling naar de kaartgever/lezer?</t>
  </si>
  <si>
    <t xml:space="preserve">Stoeprand van eilanden met schuine kant ter bescherming van banden en velgen </t>
  </si>
  <si>
    <t>Toegangsbeveiliging</t>
  </si>
  <si>
    <t>Slagboom</t>
  </si>
  <si>
    <t>Kentekenherkenning</t>
  </si>
  <si>
    <t>Snel sluitende hekken</t>
  </si>
  <si>
    <t>Personeel (evt in de loge) bij de inrit/uitrit</t>
  </si>
  <si>
    <t>Subtotaal in- en uitrit</t>
  </si>
  <si>
    <t>Bebording voor autoverkeer:</t>
  </si>
  <si>
    <t>Officiele verkeersborden overeenkomstig RVV?</t>
  </si>
  <si>
    <t xml:space="preserve">Is bebording voor routing en bochten: </t>
  </si>
  <si>
    <t>Compleet?</t>
  </si>
  <si>
    <t>Goed zichtbaar?</t>
  </si>
  <si>
    <t xml:space="preserve">Eenduidig? </t>
  </si>
  <si>
    <t xml:space="preserve">Bebording naar de uitrit: </t>
  </si>
  <si>
    <t>Markering van de parkeervakken</t>
  </si>
  <si>
    <t>Parkeervakken duidelijk herkenbaar?</t>
  </si>
  <si>
    <t>Markering van parkeervakken doorgetrokken op de wand om orientatie te verbeteren?</t>
  </si>
  <si>
    <t>Rijstrookmarkeringen</t>
  </si>
  <si>
    <t>Invalidenplaatsen in de garage aangekondigd bij de inrit?</t>
  </si>
  <si>
    <t>Bereikbaar voor rolstoel?</t>
  </si>
  <si>
    <t>Vakken minimal 3,5 m breed?</t>
  </si>
  <si>
    <t>Dichtbij de voetgangersuitgang?</t>
  </si>
  <si>
    <t>Hellingbanen</t>
  </si>
  <si>
    <t>Breedte van rechte hellingbanen (tussen stoepranden) op het smalste punt</t>
  </si>
  <si>
    <t>Toegankelijkheid voor voetgangers</t>
  </si>
  <si>
    <t>Omschrijving</t>
  </si>
  <si>
    <t>Bewegwijzering</t>
  </si>
  <si>
    <t>Gaan de aanwezige liften tot straatniveau?</t>
  </si>
  <si>
    <t>Verdieping indicatie:</t>
  </si>
  <si>
    <t>in de lift:</t>
  </si>
  <si>
    <t>In de lifthal:</t>
  </si>
  <si>
    <t>Toegangsdeuren tot de parkeervloeren</t>
  </si>
  <si>
    <t>Open verbinding = 2</t>
  </si>
  <si>
    <t xml:space="preserve">Vormen liften de hoofdverbinding voor vertical verkeer (trappen alleen voor noodgevallen)? </t>
  </si>
  <si>
    <t>Trappenhuizen: overzicht en orientatie</t>
  </si>
  <si>
    <t>Trappen:</t>
  </si>
  <si>
    <t>Breedte &lt; 1.5 m = 0, &gt; 1.5m = 2</t>
  </si>
  <si>
    <t>Veiligheidstechniek</t>
  </si>
  <si>
    <t>CCTV bij:</t>
  </si>
  <si>
    <t>Inrit:  Ja =1, Nee =0</t>
  </si>
  <si>
    <t>Uitrit:  Ja =1, Nee =0</t>
  </si>
  <si>
    <t>Betaalautomaat:  Ja =1, Nee =0</t>
  </si>
  <si>
    <t>Voetgangers/lifthal op elke verdieping:  Ja =1, Nee =0</t>
  </si>
  <si>
    <t>Trappenhuizen op elke verdieping:  Ja =1, Nee =0</t>
  </si>
  <si>
    <t>Voetgangerstoegang:  Ja =1, Nee =0</t>
  </si>
  <si>
    <t>Parkeervloeren 65%: Ja =3, Nee =0</t>
  </si>
  <si>
    <t>Hellingbanen:  Ja = 1, Nee = 0</t>
  </si>
  <si>
    <t>Assistentie oproepbaar via:</t>
  </si>
  <si>
    <t>Orientatie binnen en buiten de garage</t>
  </si>
  <si>
    <t>Weergave vrije plaatsen</t>
  </si>
  <si>
    <t>Orientatie vanuit de auto</t>
  </si>
  <si>
    <t>Bewegwijzering naar de garage voor auto’s op weg naar de garage</t>
  </si>
  <si>
    <t>Verlichte aanduiding bij de inrit:</t>
  </si>
  <si>
    <t>Comfort en diversen</t>
  </si>
  <si>
    <t>Informatiebord bij voetgangerstoegang met:</t>
  </si>
  <si>
    <t>Betaalmogelijkheden (automaat en uitrit):</t>
  </si>
  <si>
    <t>Pay and Display/ticketautomaten?</t>
  </si>
  <si>
    <t>Toilet in de garage</t>
  </si>
  <si>
    <t>Gebruik van kleuren en afwerking</t>
  </si>
  <si>
    <t>Geschilderde kolommen=1 , grijs beton=0</t>
  </si>
  <si>
    <t>Geschilderde wanden=1 , grijs beton=0</t>
  </si>
  <si>
    <t>Extra verfraaiing:</t>
  </si>
  <si>
    <t>Kunst: Ja = 2, Nee = 0</t>
  </si>
  <si>
    <t>Plantenbakken:  Ja = 1, Nee = 0</t>
  </si>
  <si>
    <t>Andere verfraaiing: Ja = 1, Nee = 0</t>
  </si>
  <si>
    <t>Muziek</t>
  </si>
  <si>
    <t>Energie &amp; Milieu</t>
  </si>
  <si>
    <t>Energie besparende maatregelen mbt verlichting</t>
  </si>
  <si>
    <t>Ja, opstart  ter reductie van piekbelasting= 1</t>
  </si>
  <si>
    <t>Malus Punten</t>
  </si>
  <si>
    <t>Zichtbare aanwezigheid van graffiti</t>
  </si>
  <si>
    <t>Zichtbaar vuil en zwerfvuil</t>
  </si>
  <si>
    <t>Slechte staat van schilderwerk</t>
  </si>
  <si>
    <t xml:space="preserve">Slechte kwaliteit/achterstalling onderhoud, (gaten cq beschadigingen) </t>
  </si>
  <si>
    <t>Stankoverlast</t>
  </si>
  <si>
    <t>Bonus punten</t>
  </si>
  <si>
    <t>Extra voorzieningen in de garage</t>
  </si>
  <si>
    <t>Breedte &lt;90 cm =0, &gt;90 cm = 2</t>
  </si>
  <si>
    <t>Cash munten:  Ja =1, nee =0</t>
  </si>
  <si>
    <t>Wisselgeld teruggave: Ja =1, nee =0</t>
  </si>
  <si>
    <t>Cash bankbiljetten:  Ja =1, nee =0</t>
  </si>
  <si>
    <t>Bank/kredietkaarten:  Ja =1, nee =0</t>
  </si>
  <si>
    <t>Betalen met mobiele telefoon: ja=1, nee=0</t>
  </si>
  <si>
    <t>Betalen met bankkaart of mobiele telefoon aan de uitrit: ja=1, nee=0</t>
  </si>
  <si>
    <t>Identificatie en betalen op basis van kenteken: ja=1, nee=0</t>
  </si>
  <si>
    <t>Ingangspartij; op vloerhoogte:
•  &gt; 200 Lux = 5;
•  75– 200 Lux = 0,04punt per Lux boven 75;
•  &lt; 75 Lux = 0</t>
  </si>
  <si>
    <t>Inrit kaartgever; op 1 m hoogte
•  &gt; 200 Lux = 3;
•  100-200  Lux = 0,03punt per Lux boven 100;
•  • &lt; 100 Lux = 0</t>
  </si>
  <si>
    <t xml:space="preserve">Uitrit kaartlezer; op 1 m hoogte
• &gt; 200 Lux = 3; 
• 100-200 Lux =0,03punt per Lux boven 100;
• &lt; 100 Lux = 0 </t>
  </si>
  <si>
    <t>Bij de kassier; op toonbankhoogte
• &gt; 200 Lux =4;
• 100-200  Lux = 0,04punt per Lux boven 100;
• &lt; 100 Lux= 0;
• Geen kassier  = 3</t>
  </si>
  <si>
    <t>Lighting</t>
  </si>
  <si>
    <t>Uniformity of light levels in grid as standard deviation
•  Under 25% of avg light level = 10;
•  Between25– 50%: 0,4 pt per % under 50%
•  Above 50% =  0</t>
  </si>
  <si>
    <t>Traffic signs to define limitations in use of facility.
• Clear signing = 3
• Incomplete signing = 2
• No signing = 0)</t>
  </si>
  <si>
    <t>Inrit:
• &lt; 2% (auto beweegt niet uit zichzelf) = 1
• 2-5% = 0
• &gt; 5% = -1</t>
  </si>
  <si>
    <t>Entry lane:
• 0-2% (car doesn’t move without brake) = 1
• 2-5% = 0
• Above 5% = -1</t>
  </si>
  <si>
    <t>Uitrit:
• &lt; 2% (auto beweegt niet uit zichzelf) = 1
• 2-5% = 0
• &gt; 5% = -1</t>
  </si>
  <si>
    <t>Exit lane:
• 0-2% (car doesn’t move without brake) = 1
• 2-5% = 0
• Above 5% = -1</t>
  </si>
  <si>
    <t>Kolomopstelling min 85% van de parkeervakken:
• Kolommen compleet buiten de parkeervakken  = 8
• Kolom aan het begin van het vak= 0
• Kolom naast het autoportier = 0
• Kolom achter in het vak maar binnen het vak = 4</t>
  </si>
  <si>
    <t>Pillar placement for at least 85% of bays:
• does not intrude into the parking area = 8 
• at beginning of stall = 0
• next to car door = 0
• at back of stall but intrudes into the parking area = 4</t>
  </si>
  <si>
    <t>Overzichtelijkheid (dode hoeken, wanden in de garage etc )
• Geen = 4, Hier en daar = 2, Veel = 0</t>
  </si>
  <si>
    <t>Totale maat van rijstrook voor éénrichtingsverkeer plus twee vakdieptes, afhankelijk van parkeerhoek en vakbreedte:  
Vakbreedte2.50m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Bovenstaande maat geeft 3 punten. 
Tot 30 cm minder geeft 2 punten 
Tot 60 cm minder geeft 1 punt
Meer dan 60cm minder: geen punten</t>
  </si>
  <si>
    <t>Stoeprand met schuine kant ter bescherming van banden en velgen 
• Ja = 2, Nee =  0</t>
  </si>
  <si>
    <t xml:space="preserve">Hellingbanen in een bocht? 
• moeten 1 m breder zijn voor dezelfde score. </t>
  </si>
  <si>
    <t>Straal buitenkant aanrijbocht naar een rechte hellingbaan:
• &lt;7.5m =0,  7.5 – 9m =1, &gt; 9m  = 2</t>
  </si>
  <si>
    <t>Hellende parkeervloeren:
• &lt;5% =3, 5-7% =1, &gt;7% =0, vlakke vloer = 3</t>
  </si>
  <si>
    <t>Hoogte voor voetgangers op de looproutes op de parkeervloer (excl. Deuren)
• 1,90 – 2,00 m = 0
• 2,00 – 2,10 m = 1
• 2,10 – 2,20 m = 2
• &gt; 2,20 m = 3</t>
  </si>
  <si>
    <t>Headroom for pedestrians - excluding doors
• &lt;2.00m = 0
• 2.00m – 2.10m = 1
• 2.10m – 2.20m = 2
• &gt; 2.20m = 3</t>
  </si>
  <si>
    <t>Gescheiden looproute ( bv verhoogd, zebra of afwijkende kleur)
• ja = 2, nee = 0</t>
  </si>
  <si>
    <t>Zijn deuren gemakkelijk te openen?
• Ja: automatisch of open verbinding = 4
• Gemakkelijk te openen = 2
• Nee = 0</t>
  </si>
  <si>
    <t>Voetgangerstoegang met kaartlezer tijdens openingsuren 
Ja=1, Nee=0</t>
  </si>
  <si>
    <t>Stadsplattegrond op centrale plek in de garage: 
• Bij elke voetgangersuitgang=2, op één plek = 1, nee = 0</t>
  </si>
  <si>
    <t>Bewegwijzering bij voetgangersuitgang naar belangrijke bestemmingen
• Ja = 1, Nee = 0</t>
  </si>
  <si>
    <t>Bewegwijzering naar voetgangerstoegang 
• Ja = 1, Nee = 0</t>
  </si>
  <si>
    <t>Liften vanaf straatniveau
• geen  = 0,  1 lift = 1, 
• 2 of meer liften =5</t>
  </si>
  <si>
    <t>Zicht vanuit lift naar hall of parkeervloeren
• Geen zicht vanuit de lift = 0;
• Deur met glas/glazen wand = 3; 
• Geen lift = 0</t>
  </si>
  <si>
    <t>Liftbediening op rolstoelhoogte 
• Ja = 1,  Nee = 0</t>
  </si>
  <si>
    <t>Zichtbaarheid
• Glazen deur/wand = 3, Niet doorzichtig = 0</t>
  </si>
  <si>
    <t>Duidelijk overzicht, geen dode hoeken
• Ja = 1, Nee = 0</t>
  </si>
  <si>
    <t>Indicatie van de verdieping
• Ja = 1, Nee = 0</t>
  </si>
  <si>
    <t>Geen handreling =0, Eén zijde = 1, Twee zijden=2</t>
  </si>
  <si>
    <t>Extra markering van treden voor slechtzienden 
• Ja = 2, Nee = 0</t>
  </si>
  <si>
    <t>Anti-slip op trappen:
• Ja = 2, Nee = 0</t>
  </si>
  <si>
    <t>Daglicht toetreding in trappenhuis
• Raam of rooster opening =2
• geen  =0</t>
  </si>
  <si>
    <t>• CCTV met aanduiding bij de inrit = 3, 
• Geen CCTV =0</t>
  </si>
  <si>
    <t>Toezicht door personeel (ter plaatse of op afstand) 
• Ja = 5, Nee =  0</t>
  </si>
  <si>
    <t>Intercom bij betaalautomaat, slagbomen etc 
• 24 uur/7 dagen per week=3 
• Openingsuren indien niet 24/7= 2 
• Niet of onduidelijk = 0</t>
  </si>
  <si>
    <t>Noodoproep op de parkeervloeren
• 24 uur/7 dagen per week=3 
• Openingsuren indien niet 24/7= 2 
• Niet of onduidelijk = 0</t>
  </si>
  <si>
    <t>Herkenbaar toeziend personeel in de garage
• 24 uur/7 dagen per week=3 
• Openingsuren indien niet 24/7= 2 
• Af en toe = 1
• Niet = 0</t>
  </si>
  <si>
    <t>Afsluitbare in/uitrit
• Hek of rolpoort na openingsuren= 2
• Snelsluitend hek overdag= 4
• Langzaam sluitend hek of rolpoort overdag= 2
• Geen afsluiting= 0</t>
  </si>
  <si>
    <t>Afsluitbare voetgangerstoegang buiten openingtijd
• Rolhek of deur met openingen &lt; 15cm = 2
• Rolhek of deur met grotere openingen= 0
• Geen afsluiting= 0
• Irrelevant (24 uur  opening) = 2</t>
  </si>
  <si>
    <t>Roosters in externe openingen &amp; afsluithekken
• &lt;= 15 cm = 2, &gt; 15 cm of geen rooster= 0</t>
  </si>
  <si>
    <t>Op vloer niveau
• Ja/goed = 2, nee/slecht = 0</t>
  </si>
  <si>
    <t>Per parkeer rij
• Ja/goed = 1, nee/slecht = 0</t>
  </si>
  <si>
    <t>Per plaats
• Ja/goed = 2, nee/slecht = 0</t>
  </si>
  <si>
    <t>Is elke parkeerlaag duidelijk herkenbaar? 
• goed =3, acceptabel =2, matig =1, nee =0</t>
  </si>
  <si>
    <t>Zijn delen per parkeerlaag duidelijk gemarkeerd en herkenbaar?
• goed =3, acceptabel =2, matig =1, nee =0</t>
  </si>
  <si>
    <t>Is  er extra bebording of markering om voetgangers op de parkeervloer te geleiden?
• goed =2, hier en daar =1, geen = 0</t>
  </si>
  <si>
    <t>Zijn parkeervakken voorzien van identificatie?
• Nummering incl vloeraanduiding=2
• Alleen nummering=1
• Geen=0</t>
  </si>
  <si>
    <t>Gebruik van kleuren voor oriëntatie 
• Ja= 1, Nee= 0</t>
  </si>
  <si>
    <t>Alleen statische borden
• Ja = 1, Nee = 0</t>
  </si>
  <si>
    <t>Dynamische aanduiding vol/vrij of plaatsen, extra:
• Ja = 1, Nee = 0</t>
  </si>
  <si>
    <t xml:space="preserve">Signaal kruis/pijl aanduiding rijrichting
• Ja = 1, Nee = 0 </t>
  </si>
  <si>
    <t>Signaal vol/vrij 
• Ja = 1, Nee = 0</t>
  </si>
  <si>
    <t>Aanduiding voetgangerstoegang
• Ja = 1, Nee = 0</t>
  </si>
  <si>
    <t>Openingstijden normale en bijzondere dagen
• Ja = 1, Nee = 0</t>
  </si>
  <si>
    <t>Duidelijke tarieftabel
• Ja = 1, Nee = 0</t>
  </si>
  <si>
    <t>Algemene Voorwaarden Exploitant
• Ja = 1, Nee = 0</t>
  </si>
  <si>
    <t>Andere betaalmogelijkheden:
• 1 punt per extra mogelijkheid tot max 3</t>
  </si>
  <si>
    <t>Aantal betaalpunten bij garages met slagbomen
• Eén = 0,  Meer dan één  =1
• Eén bij iedere voetgangerstoegang =2
• Meer dan gemiddeld één per voetgangerstoegang =3</t>
  </si>
  <si>
    <t>Pay and Display/ticketautomaten
• Eén=0,
• &lt;1/50 plaatsen=2,
• &gt;1/50 plaatsen=3</t>
  </si>
  <si>
    <t>• Ja= 2, nee= 0</t>
  </si>
  <si>
    <t>Mindervaliden toilet:  
• Ja=1, nee= 0</t>
  </si>
  <si>
    <t>• Één toilet = 0, man/vrouw apart toilet = 1</t>
  </si>
  <si>
    <t>Toezicht: 
• Ja=1, nee= 0</t>
  </si>
  <si>
    <t>Dekking mobiele telefoon in de garage
• Ja = 2, Nee = 0</t>
  </si>
  <si>
    <t>Dekking radio signaal in de garage
• Ja = 1, Nee = 0</t>
  </si>
  <si>
    <t>Achtergrondmuziek:  
• ja = 2, Nee = 0</t>
  </si>
  <si>
    <t>Ondersteuning voor orientatie :  
• Ja =1, Nee = 0</t>
  </si>
  <si>
    <t>Licht schakeling op bewegingsdetectie
• Ja=2, Nee=0</t>
  </si>
  <si>
    <t>Verlichting aanpassend aan externe omstandigheden (daglichtcompensatie) aan de inrit:
• Ja= 2, Nee=0
Irrelevant (ondergronds) =2</t>
  </si>
  <si>
    <t>Verlichting aanpassend aan externe omstandigheden (daglichtcompensatie) op de parkeervloer:
• Ja= 2, Nee=0
• Irrelevant (ondergronds) =2</t>
  </si>
  <si>
    <t>Zonnepanelen op het dak of andere groene energie:
• Ja= 2, Nee=0</t>
  </si>
  <si>
    <t>Gescheiden afvoer afvalwater (bv olie- of slibvangers) 
• Ja=2, Nee=0</t>
  </si>
  <si>
    <t>Scheiding drink- en spoelwater cq hergebruik van regenwater:
• Ja=2, Nee=0</t>
  </si>
  <si>
    <t>Laadpunten voor elektrische auto’s
• Ja, meer dan één=2, Eén = 1, Nee=0</t>
  </si>
  <si>
    <t>Deelauto’s etc
• Ja, meer dan één =2, Eén = 1, Nee=0</t>
  </si>
  <si>
    <t>Overige milieu initiatieven:
• Ja=2, Nee=0</t>
  </si>
  <si>
    <t>Trappenhuizen
• Ja= -2, Nee= 0</t>
  </si>
  <si>
    <t>Lift
• Ja= -2, Nee= 0</t>
  </si>
  <si>
    <t>Toiletten
• Ja= -2, Nee= 0</t>
  </si>
  <si>
    <t>Parkeervloer
• Ja= -2, Nee= 0</t>
  </si>
  <si>
    <t>Buitenmuur
• Ja= -2, Nee= 0</t>
  </si>
  <si>
    <t>Buitenzijde inrit en voetgangersentree
• Ja= -2, Nee= 0</t>
  </si>
  <si>
    <t>Slechte kwaliteit van markeringen 
• Ja= -2, Nee= 0</t>
  </si>
  <si>
    <t>Wanden
Ja= -2, Nee= 0</t>
  </si>
  <si>
    <t>Lekkages en/of plasvorming
• Ja= -2, Nee= 0</t>
  </si>
  <si>
    <t>Meer dan 15% van de plaatsen in doodlopende stukken zonder volindicatie
• Ja= -5, Nee= 0</t>
  </si>
  <si>
    <t>Overige punten van kritiek (uit te leggen!)
(Bv piepende banden, geluidsoverlast, ongewenste gasten, etc) tot -10 punten</t>
  </si>
  <si>
    <t>Plaatsen voor motorfietsen
• Ja= 1, Nee= 0</t>
  </si>
  <si>
    <t>Kluisjes voor klantgebruik
• Ja= 1, Nee= 0</t>
  </si>
  <si>
    <t>Andere voorzieningen
• Ja= 1, Nee= 0</t>
  </si>
  <si>
    <t>Fietsverhuur
• Ja= 1, Nee= 0</t>
  </si>
  <si>
    <t>Overige services voor automobilisten
• Ja= 1, Nee= 0</t>
  </si>
  <si>
    <t>Verkoopautomaat
• Ja= 1, Nee= 0</t>
  </si>
  <si>
    <t>Hart defibrillator
• Ja= 1, Nee= 0</t>
  </si>
  <si>
    <t>EHBO getraind personeel
• Ja= 1, Nee= 0</t>
  </si>
  <si>
    <t>Actuele verkeersgegevens
• Ja= 1, Nee= 0</t>
  </si>
  <si>
    <t>Overige actuele informatie, bv evenementen
• Ja= 1, Nee= 0</t>
  </si>
  <si>
    <t>Maatregelen om opstopping bij pieken te voorkomen, bv wisselstrook aan de in/uitrit
• Ja= 3, Nee= 0</t>
  </si>
  <si>
    <t>Keermogelijkheid voor hoogtebalk of volsignaal om achteruitrijden te voorkomen
• Ja= 3, Nee= 0</t>
  </si>
  <si>
    <t>Klantenservice balie
• Ja= 1, Nee= 0</t>
  </si>
  <si>
    <t>Roltrappen of rolpaden (geschikt voor winkelwagens)
• Naar/van alle parkeerlagen=5
• Naar/van sommige parkeerlagen=3
• Geen=0</t>
  </si>
  <si>
    <t>Terugvinden van auto op basis van kaartje of kenteken:
• Ja= 1, Nee= 0</t>
  </si>
  <si>
    <t>Overige positieve punten (uit te leggen!)
(bijv extra service, vriendelijk personeel, inpassing van de garage in de omgeving) tot 10 punten</t>
  </si>
  <si>
    <t>Dutch</t>
  </si>
  <si>
    <t>zonnig</t>
  </si>
  <si>
    <t>bewolkt</t>
  </si>
  <si>
    <t>regen</t>
  </si>
  <si>
    <t>schemer</t>
  </si>
  <si>
    <t>donker</t>
  </si>
  <si>
    <t xml:space="preserve"> circa 50%</t>
  </si>
  <si>
    <t>Accoord</t>
  </si>
  <si>
    <t>Niet accoord</t>
  </si>
  <si>
    <t>Ja</t>
  </si>
  <si>
    <t>Nee</t>
  </si>
  <si>
    <t>Duidelijke bebording</t>
  </si>
  <si>
    <t>Incomplete bebording</t>
  </si>
  <si>
    <t>Geen bebording</t>
  </si>
  <si>
    <t>Geen bescherming voor wielen</t>
  </si>
  <si>
    <t>Geen trottoirbanden bij in/uitrit</t>
  </si>
  <si>
    <t>Glad bij nat wegdek</t>
  </si>
  <si>
    <t>Kolom aan het begin van het parkeervak</t>
  </si>
  <si>
    <t>Kolom naast het autoportier</t>
  </si>
  <si>
    <t>Goed</t>
  </si>
  <si>
    <t>Acceptabel</t>
  </si>
  <si>
    <t>Slecht</t>
  </si>
  <si>
    <t xml:space="preserve"> Meer dan 2.50 m</t>
  </si>
  <si>
    <t>In overeenstemming met de tabel</t>
  </si>
  <si>
    <t>Tot 30 cm minder</t>
  </si>
  <si>
    <t>Tot 60 cm minder</t>
  </si>
  <si>
    <t>glad</t>
  </si>
  <si>
    <t>Geen hellingen</t>
  </si>
  <si>
    <t>Ja (automatische deur of open verbinding)</t>
  </si>
  <si>
    <t>Gemakkelijk te openen</t>
  </si>
  <si>
    <t>Twee of meer liften</t>
  </si>
  <si>
    <t>Meer dan 8 personen</t>
  </si>
  <si>
    <t>Minder dan 4 personen</t>
  </si>
  <si>
    <t>Geen zicht vanuit de lift</t>
  </si>
  <si>
    <t>Glas in deur of wanden</t>
  </si>
  <si>
    <t>Geen lift</t>
  </si>
  <si>
    <t>Glazen deur/wand</t>
  </si>
  <si>
    <t>Geen glas</t>
  </si>
  <si>
    <t>Geen handreling</t>
  </si>
  <si>
    <t>Handreling aan twee kanten</t>
  </si>
  <si>
    <t>Raam of rooster</t>
  </si>
  <si>
    <t>Geen opening</t>
  </si>
  <si>
    <t>24 * 7</t>
  </si>
  <si>
    <t>Alle openingsuren indien geen 7*24</t>
  </si>
  <si>
    <t>Part time of niet beschikbaar</t>
  </si>
  <si>
    <t>Gedurende toegangsuren</t>
  </si>
  <si>
    <t>Minder dan de toegangsuren</t>
  </si>
  <si>
    <t>Geen</t>
  </si>
  <si>
    <t>Afgesloten toegang buiten openingsuren</t>
  </si>
  <si>
    <t>Beveiligd: snelle poort gedurende de dag</t>
  </si>
  <si>
    <t>Beveiligd: langzame poort gedurende de dag</t>
  </si>
  <si>
    <t>Geen voorzieningen</t>
  </si>
  <si>
    <t>Toegangsdeur met openingen &lt;= 15 cm</t>
  </si>
  <si>
    <t>Toegangsdeur met openingen &gt; 15 cm</t>
  </si>
  <si>
    <t>Geen afgesloten toegangsdeur</t>
  </si>
  <si>
    <t>NVT, 24 uur opening</t>
  </si>
  <si>
    <t>NVT, geen openingen naar buiten</t>
  </si>
  <si>
    <t>Ja/goed</t>
  </si>
  <si>
    <t>Nee/slecht</t>
  </si>
  <si>
    <t>Zichtbaar vanaf elke plek</t>
  </si>
  <si>
    <t>Zichtbaar vanaf de meeste plekken</t>
  </si>
  <si>
    <t>Zichtbaar vanaf somming plekken</t>
  </si>
  <si>
    <t>Geen aanduiding van vluchtroutes</t>
  </si>
  <si>
    <t>Soms</t>
  </si>
  <si>
    <t>Nummers met niveau indicatie</t>
  </si>
  <si>
    <t>Alleen nummers</t>
  </si>
  <si>
    <t>Meer betaalautomaten</t>
  </si>
  <si>
    <t>M/V gecombineerd</t>
  </si>
  <si>
    <t>Apart voor M en V</t>
  </si>
  <si>
    <t>Geschilderde kolommen</t>
  </si>
  <si>
    <t>Nee, beton grijs</t>
  </si>
  <si>
    <t>Geschilderde wanden</t>
  </si>
  <si>
    <t>Naar/van alle niveaus</t>
  </si>
  <si>
    <t>Naar/van enkele niveaus</t>
  </si>
  <si>
    <t>Geen roltrap</t>
  </si>
  <si>
    <t>Geen hellingbanen</t>
  </si>
  <si>
    <t xml:space="preserve">Geen hellingbanen </t>
  </si>
  <si>
    <t>Geen helling, vlakke vloer</t>
  </si>
  <si>
    <t>'s morgens</t>
  </si>
  <si>
    <t>'s middags</t>
  </si>
  <si>
    <t>'s avonds</t>
  </si>
  <si>
    <t>2.00m - 2.10m</t>
  </si>
  <si>
    <t>2.10m - 2.20m</t>
  </si>
  <si>
    <t>4 - 8 personen</t>
  </si>
  <si>
    <t>9m - 10m</t>
  </si>
  <si>
    <t>Gereed</t>
  </si>
  <si>
    <t>Nog niet gereed</t>
  </si>
  <si>
    <t>Commentaar</t>
  </si>
  <si>
    <t>Aantal accoord</t>
  </si>
  <si>
    <t>Aantal niet accoord</t>
  </si>
  <si>
    <t>Niet ingevuld</t>
  </si>
  <si>
    <t>Niet compleet</t>
  </si>
  <si>
    <t>Totaal items</t>
  </si>
  <si>
    <t>Totaal incl sub-items</t>
  </si>
  <si>
    <t>Items ingevuld</t>
  </si>
  <si>
    <t>Maximun score</t>
  </si>
  <si>
    <t>% Score</t>
  </si>
  <si>
    <t>Categorie gewichtsfactor</t>
  </si>
  <si>
    <t>Score overzicht</t>
  </si>
  <si>
    <t>Categorie</t>
  </si>
  <si>
    <t>Aantal items</t>
  </si>
  <si>
    <t>Nog in te vullen</t>
  </si>
  <si>
    <t>% score</t>
  </si>
  <si>
    <t>Minimum vereiste</t>
  </si>
  <si>
    <t>Score punten</t>
  </si>
  <si>
    <t>% ingevuld</t>
  </si>
  <si>
    <t>Subtotaal</t>
  </si>
  <si>
    <t>Totaal</t>
  </si>
  <si>
    <t>Minimum vereiste voor ESPA award</t>
  </si>
  <si>
    <t>Resultaat meting</t>
  </si>
  <si>
    <t>Maximum bijdrage eindscore</t>
  </si>
  <si>
    <t>Bijdrage voor eindscore</t>
  </si>
  <si>
    <t>Opmerkingen</t>
  </si>
  <si>
    <t>Minimum vereiste  punten per categorie behaald</t>
  </si>
  <si>
    <t>Français</t>
  </si>
  <si>
    <t>Langue</t>
  </si>
  <si>
    <t>Pays</t>
  </si>
  <si>
    <t>Nom du parking</t>
  </si>
  <si>
    <t>Adresse</t>
  </si>
  <si>
    <t>Ville</t>
  </si>
  <si>
    <t>Nombre de places de stationnement</t>
  </si>
  <si>
    <t>Personne de contact</t>
  </si>
  <si>
    <t>Conditions minimales obligatoires</t>
  </si>
  <si>
    <t>Téléphone</t>
  </si>
  <si>
    <t>Evalué par</t>
  </si>
  <si>
    <t>Conditions de l’évaluation</t>
  </si>
  <si>
    <t>Moment de la journée</t>
  </si>
  <si>
    <t>Conditions météo</t>
  </si>
  <si>
    <t>Taux d’occupation</t>
  </si>
  <si>
    <t>Le parking doit être à usage public</t>
  </si>
  <si>
    <t>Hauteur minimale au plafond=1.90m dans la majorité des espaces dédiés au public. Les quelques éventuels passages plus bas doivent être clairement signalés .</t>
  </si>
  <si>
    <t>Il doit y avoir minimum une  voie d’entrée et une voie de sortie, une troisième voie bidirectionnelle est autorisée.</t>
  </si>
  <si>
    <t>L’inclinaison de la rampe ne peut excéder 20%.Il doit être mesurée au centre de la voie de circulation. Pour les rampes courbes bidirectionnelles, ceci s’applique à la voie intérieure la plus abrupte.</t>
  </si>
  <si>
    <t>70% des emplacements doivent faire au moins 2.30m de large.
Pour des parkings rénovés de plus de 10 ans, une largeur minimum de 2.25m est tolérée. Cependant, dans ce cas, une pénalité de 5 points est appliquée, à compenser ailleurs.</t>
  </si>
  <si>
    <t>Toutes les rampes droites à trafic unidirectionnel doivent faire minimum 2.70m de large.
En cas de rampes bidirectionnelles, celles-ci doivent faire  minimum 6m de large avec marquage des voies.
La largeur des rampes est mesurée entre les murs ou piliers.</t>
  </si>
  <si>
    <t>Les rampes courbes pour un trafic unidirectionnel doivent présenter un radius externe de minimum 8m avec des voies de minimum 3.50m de large.
Pour des rampes courbes bidirectionnelles, les mesures sont d’application pour la voie intérieure de la courbe.La voie extérieure doit être de minimum 3.50m de large.</t>
  </si>
  <si>
    <t>Si le parking est payant et dispose d’un contrôle d’accès par barrières ou portails, un personnel de service doit pouvoir être contacté aux bornes de paiement, aux bornes de sorties et aux entrées piétons sécurisées.</t>
  </si>
  <si>
    <t>Un reçu de paiement doit pouvoir être délivré en cas de demande.</t>
  </si>
  <si>
    <t>Tous les mouvements de véhicule doivent pouvoir être effectués sans devoir effectuer une marche arrière (exception faite pour se garer ou sortir d’un emplacement ainsi que les culs-de-sac).</t>
  </si>
  <si>
    <t>Eclairage</t>
  </si>
  <si>
    <t>Liste des mesures à effectuer ( valeurs en Lux,  se référer au manuel des mesures).</t>
  </si>
  <si>
    <t>Aire d’entrée des véhicules, mesures effectuées au niveau du sol.
•  Plus de 200 Lux = 5;
•  Entre 75– 200 Lux: 0,04 pt par Lux au-delà de 75  
•  Moins de 75 Lux = 0</t>
  </si>
  <si>
    <t>Entrée ;  à 1m de hauteur près de la borne d’entrée (tickets)
•  Plus de 200 Lux = 3;
•  Entre 100– 200 Lux: 0,03 pt par Lux au-delà de 100
•  Moins de 100 Lux = 0</t>
  </si>
  <si>
    <t>Sortie ;  à 1 m de hauteur près de la borne  de sortie (tickets)
•  Plus de 200 Lux = 3;
•  Entre 100– 200 Lux: 0,03 pt par Lux au-delà de 100
•  Moins de 100 Lux= 0</t>
  </si>
  <si>
    <t>Au niveau des bornes de paiement , à 1m de hauteur
•  Plus de 200 Lux =4;
•  Entre 100– 200 Lux: 0,04 pt par Lux au-delà de 100
•  Moins de 100 Lux= 0;
•  Si pas de bornes de paiement, identique qu’à la sortie</t>
  </si>
  <si>
    <t>Auprès du caissier, à hauteur du comptoir
•  Plus de 200 Lux =4;
•  Entre 100– 200 Lux: 0,04 pt par Lux au-delà de 100
•  Moins de 100 Lux= 0;
•  Pas de caissier = 3</t>
  </si>
  <si>
    <t>Dans les ascenseurs, au niveau du sol
•  Plus de  70 Lux = 4;
•  Entre 30– 70 Lux: 0,1 pt par Lux au-delà de 30
•  Moins de 30 Lux = 0;
•  Pas d’ascenseur, parking sur un niveau = 3</t>
  </si>
  <si>
    <t>Dans les cages d’escaliers et tout autre accès exclusivement réservé aux piétons, au niveau du sol
•  Plus de 90 Lux = 3;
•  Entre 30– 90 Lux: 0,05 pt par Lux au-delà de 30
•  Moins de 30 Lux = 0;</t>
  </si>
  <si>
    <t>Eclairages des aires de stationnement, à mesurer au niveau du sol: (remplissez la grille ci-dessous svp) 
Moyenne des mesures reprises dans la grille:
•  Plus de 100 Lux= 10;
•  Entre 20– 100 Lux: 0,125 pt par Lux au-delà de 20 
•  Moins de 20 Lux= 0</t>
  </si>
  <si>
    <t>Uniformité de l’éclairage selon les mesures rapportées sur la grille (calcul par écart-type) 
•  Moins de 25% de la moyenne d’éclairage = 10;
•  Entre  25– 50%: 0,4 pt par % en dessous de 50%
•  Plus de 50% =  0</t>
  </si>
  <si>
    <t>Grille annexe au point 2.8</t>
  </si>
  <si>
    <t>Fond aire de stationnement sous/entre points lumineux</t>
  </si>
  <si>
    <t>Milieu aire de stationnement sous/entre points lumineux</t>
  </si>
  <si>
    <t>Début aire de stationnement sous/entre points lumineux</t>
  </si>
  <si>
    <t>Centre de la voie de circulation sous/entre points lumineux.</t>
  </si>
  <si>
    <t>Voie de circulation côté opposé à l’aire de stationnement sous/entre points lumineux</t>
  </si>
  <si>
    <t>Entrée / Sortie des voitures</t>
  </si>
  <si>
    <t>Limite d’hauteur de plafond annoncée à l’entrée du parking</t>
  </si>
  <si>
    <t>Signalisation correcte à l’entrée</t>
  </si>
  <si>
    <t>Barre d’hauteur</t>
  </si>
  <si>
    <t>Rebord caoutchouc sur barre pour prévenir dommages aux toits</t>
  </si>
  <si>
    <t>Hauteur
(Le parking reçoit 1 point par tranche de 10cm au-delà de 1.90m jusqu’à 2.20m)</t>
  </si>
  <si>
    <t>Panneaux de signalisation stipulant les limites concernant le parking.
(Signalisation claire = 3, Signalisation incomplète = 2, Pas de signalisation = 0)</t>
  </si>
  <si>
    <t>Information concernant:</t>
  </si>
  <si>
    <t>Règlement intérieur du parking</t>
  </si>
  <si>
    <t>Heures d’ouverture</t>
  </si>
  <si>
    <t>Grille tarifaire</t>
  </si>
  <si>
    <t>Lisibilité de la grille tarifaire</t>
  </si>
  <si>
    <t>Conception des zones d’entrée et de sortie</t>
  </si>
  <si>
    <t>Entrée: borne de tickets facilement atteignable</t>
  </si>
  <si>
    <t>Sortie: borne de tickets facilement atteignable</t>
  </si>
  <si>
    <t>Pente longitudinale de la voie près des bornes de tickets</t>
  </si>
  <si>
    <t>Entrée:
(0-2% (le véhicule ne bouge pas sans poser le pied sur le frein) = 1, 2-5% = 0, Plus de 5% = -1)</t>
  </si>
  <si>
    <t>Sortie:
(0-2% (le véhicule ne bouge pas sans poser le pied sur le frein) = 1, 2-5% = 0, Plus de 5% = -1)</t>
  </si>
  <si>
    <t>Forme spécifique des bordures pour éviter tout dommage  aux jantes  :
(Oui = 2, Pas de protection = 0, Pas de bordures dans la zone d’entrée /de sortie = 2)</t>
  </si>
  <si>
    <t>Surface anti-dérapante dans les rampes d’entrée/de sortie:
(Anti-dérapant = 1, Glissant si mouillé = 0)</t>
  </si>
  <si>
    <t>Sécurité des accès</t>
  </si>
  <si>
    <t>Barrières</t>
  </si>
  <si>
    <t>Interphonie</t>
  </si>
  <si>
    <t>Vidéosurveillance</t>
  </si>
  <si>
    <t>Reconnaissance plaques d’immatriculation</t>
  </si>
  <si>
    <t>Grilles de fermeture sur la hauteur totale</t>
  </si>
  <si>
    <t>Personnel présent (en entrée ou en sortie)</t>
  </si>
  <si>
    <t>Largeur des entrées/sorties du bâtiment entre les structures (par voie)
(&lt; 3 m =0, 3 – 3.3 m =1, &gt; 3.3 m = 2)</t>
  </si>
  <si>
    <t>Sortie: la pente de  sortie s’arrête au plus tard 5m avant le croisement avec le trafic (piétons/cyclistes).</t>
  </si>
  <si>
    <t>Sous-total – Entrée / Sortie des voitures</t>
  </si>
  <si>
    <t>Aires de stationnement</t>
  </si>
  <si>
    <t>Présence de piliers pour au moins 85% des emplacements:
(ne déborde pas sur l’aire de stationnement = 8, au début de l’aire de stationnement= 0, près de la portière de voiture = 0, au fond de l’emplacement mais déborde sur celui-ci = 4)</t>
  </si>
  <si>
    <t>Visibilité (beaucoup/peu d’angles morts, de murs dans le parking,etc.)
Bien=4, Moyen=2 ou Mauvais=0</t>
  </si>
  <si>
    <t>Signalisation pour le conducteur</t>
  </si>
  <si>
    <t>Les panneaux de signalisation sont-ils conformes au code de la route du pays?</t>
  </si>
  <si>
    <t>Signalisation directionnelle: est-elle claire, complète, non équivoque.</t>
  </si>
  <si>
    <t>Complète?</t>
  </si>
  <si>
    <t>Facile à voir?</t>
  </si>
  <si>
    <t>Sans equivoque?</t>
  </si>
  <si>
    <t>Les panneaux indiquant la sortie du parking: la signalisation est-elle claire, complète, sans équivoque?</t>
  </si>
  <si>
    <t>Sans équivoque?</t>
  </si>
  <si>
    <t>Marquage des emplacements</t>
  </si>
  <si>
    <t>Les emplacements sont-ils clairement marqués?</t>
  </si>
  <si>
    <t>Le marquage des emplacements est-il prolongé sur les murs pour assister le conducteur?</t>
  </si>
  <si>
    <t>Le marquage routier au sol est-il :</t>
  </si>
  <si>
    <t>Complet?</t>
  </si>
  <si>
    <t>La présence et l’emplacement des places pour handicapés en chaise roulante sont-ils annoncés à l’entrée du parking?</t>
  </si>
  <si>
    <t>Accessibilité pour chaises roulantes?</t>
  </si>
  <si>
    <t>Largeur minimum des emplacements de 3.50m ?</t>
  </si>
  <si>
    <t>Près des sorties piétons?</t>
  </si>
  <si>
    <t>Guidage vers les emplacements handicapés?</t>
  </si>
  <si>
    <t>Angle pour 85% des emplacements de parkings
(Angle 76-90° = 0, Angle  45-75° = 2)</t>
  </si>
  <si>
    <t>Largeur des emplacements (85 % des emplacements ), A ou B: 
A: Angle de parking entre 76 – 90 degrés
(2.25m = -5, 2.30m = 0, 2.35m = 2, 2.40m = 4, 2.45m = 6, 2.50m = 8) 
B: Angle de parking entre 45-75 degrés
(2.25m = -5, 2.30m = 1, 2.35m = 3, 2.40m = 5, 2.45m = 8)
La largeur de 2.25m est uniquement applicable  pour d’anciens parkings rénovés, les nouveaux parkings doivent presenter une largeur minimum de 2.30m</t>
  </si>
  <si>
    <t>Métrage total d’une surface constituée de  un emplacement, une voie de circulation et un emplacement (en fonction de la largeur et de la profondeur des emplacements) :
Largeur des emplacements: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supérieur aux cotes ci-dessus donne droit à 3 points. 
Jusqu’à 30 cm de moins donne droit à 2 points
Jusqu’à 60 cm de moins donne droit à 1 point
Plus de  60 cm en moins: pas de points attribués</t>
  </si>
  <si>
    <t>Bordures conçues pour éviter des dommages aux jantes
•  Oui = 2, Pas de protection = 0</t>
  </si>
  <si>
    <t>Rampes pour véhicules</t>
  </si>
  <si>
    <t>S’agit-il d’un parking d’un seul niveau sans rampe pour voitures ou de surface en pente?</t>
  </si>
  <si>
    <t>Surface des rampes entre les étages de stationnement ( Anti dérapant 1; Lisse 0, Pas de rampes 1)</t>
  </si>
  <si>
    <t>L’inclinaison longitudinale des rampes est-elle de (pour rampes non utilisées pour le stationnement)
•  &lt;10%=3, 10-15%=1, &gt;15%=0, pas de rampes=3</t>
  </si>
  <si>
    <t>Largeur des rampes ( entre les bordures), toutes les rampes étant mesurées aux points les plus étroits</t>
  </si>
  <si>
    <t>Les rampes courbes doivent  être 1m plus larges pour obtenir le même score. Les rampes sont-elles courbes ?</t>
  </si>
  <si>
    <t>Rayon de courbure des rampes courbes ( radius externe)
•  jusqu’à  9m=0, 9–10 m=1, &gt;10m=2, pas de rampes=2
Pour une rampe à double sens, cette mesure se réfère à la voie intérieure.</t>
  </si>
  <si>
    <t>Courbe d’approche d’une rampe d’accès
•  &lt;7.5m=0, 7.5–9m=1, &gt;9m=2, pas de rampe=2</t>
  </si>
  <si>
    <t>Inclinaison longitudinale d’une rampe pourvue d’emplacements de parking
•  &lt;5%=3, 5-7 =1, &gt;7%=0, pas d’inclinaison=3</t>
  </si>
  <si>
    <t>Accès piétons</t>
  </si>
  <si>
    <t>Description</t>
  </si>
  <si>
    <t>Hauteur de plafond zones piétonnes ( portes exceptées)
(&lt;2.00m = 0, 2.00m – 2.10m = 1, 2.10m – 2.20m = 2, &gt; 2.20m = 3)</t>
  </si>
  <si>
    <t>Voies piétonnes séparées (par ex: surélevées, marquages passages piétons ,utilisation couleur) (oui = 2, non = 0)</t>
  </si>
  <si>
    <t>Les portes pour piétons sont-elles facile à utiliser?
(Oui, portes automatiques ou passage ouvert = 4, Facile à ouvrir = 2, No = 0)</t>
  </si>
  <si>
    <t>Accès piétons contrôlés par lecteurs de tickets/cartes durant les heures d’ouverture  (Oui=2,Non=0)</t>
  </si>
  <si>
    <t>Plan de ville affiché à un endroit de passage:
(A chaque sortie piétonne= 2, A un endroit = 1, Non = 0)</t>
  </si>
  <si>
    <t>Guidage</t>
  </si>
  <si>
    <t>A la sortie piétons vers les principaux points d’attraction autour du parking  (Oui=1, Non=0):</t>
  </si>
  <si>
    <t>Aux alentours du parking vers les entrées piétonnes (Oui=1, Non=0):</t>
  </si>
  <si>
    <t>Est-ce un parking sur un seul niveau en rez-de-chaussée, (pas à ciel ouvert)?</t>
  </si>
  <si>
    <t>Y a-t-il des ascenseurs desservant le niveau rez-de-chaussée?</t>
  </si>
  <si>
    <t>Nombre d’ascenseurs au niveau rez-de-chaussée:
(1 ascenseur = 1, 2 ascenseurs ou + = 5)</t>
  </si>
  <si>
    <t>Taille des ascenseurs:
(Plus de 8 personnes = 3, 4-8 personnes = 1, moins de 4 personnes= 0)</t>
  </si>
  <si>
    <t>Visibilité depuis l’ascenseur vers le hall/parking
(pas de visibilité depuis l’ascenseur = 0, portes/murs vitré(e)s = 3, pas d’ascenseur = 0)</t>
  </si>
  <si>
    <t>Indication de l’étage</t>
  </si>
  <si>
    <t>Dans l’ascenseur</t>
  </si>
  <si>
    <t>Dans le hall d’ascenseur</t>
  </si>
  <si>
    <t>Les boutons des ascenseurs sont-ils à hauteur d’une chaise roulante
•  Oui = 1, Autre = 0</t>
  </si>
  <si>
    <t>Portes directement vers les aires de stationnement</t>
  </si>
  <si>
    <t>Largeur (&lt;90 cm =0, &gt;=90 cm = 2)</t>
  </si>
  <si>
    <t>Portes d’évacuation de secours, en position ouverte (électroaimant) (Oui=2, Non= 0)</t>
  </si>
  <si>
    <t>Visibilité (Portes/murs vitrés)= 3, Pas de vitres = 0</t>
  </si>
  <si>
    <t>Les ascenseurs sont-ils le principal moyen d’accéder aux étages? (escaliers uniquement pour évacuation de secours ou secondaires)</t>
  </si>
  <si>
    <t>Cages d’escaliers (visibilité et orientation)</t>
  </si>
  <si>
    <t>Vue dégagée (Oui = 1, Non = 0, Pas d’application= 1)</t>
  </si>
  <si>
    <t>Indication d’étage (Oui = 1, Non = 0, Pas d’application = 1)</t>
  </si>
  <si>
    <t>Escaliers (y compris visibilité renforcée des marches)</t>
  </si>
  <si>
    <t>Largeur (&lt; 1.5 m = 0, &gt; 1.5m = 2)</t>
  </si>
  <si>
    <t>Main courante (Pas de main courante=0, D’un seul côté = 1, Des deux côtés=2)</t>
  </si>
  <si>
    <t>Visibilité renforcée des marches pour personne souffrant d’une déficience de la vue (Oui = 2, Non = 0)</t>
  </si>
  <si>
    <t>Surface anti-dérapante sur les marches (Oui = 2, Non = 0)</t>
  </si>
  <si>
    <t>Equipements de sécurité</t>
  </si>
  <si>
    <t>Vidéosurveillance avec affichage légal à l’entrée = 3, Pas de vidéosurveillance=0</t>
  </si>
  <si>
    <t>Ouvertures extérieures des cages d’escalier
(fenêtres ou grilles vers l’extérieur ou vers le parking  =2, Pas d’ouverture =0)</t>
  </si>
  <si>
    <t>Sous surveillance par du personnel (sur site ou à distance)
•  Oui = 5, No = 0</t>
  </si>
  <si>
    <t>Entrées voitures: Oui =1, Non =0</t>
  </si>
  <si>
    <t>Sorties voitures: Oui =1, Non =0</t>
  </si>
  <si>
    <t>Bornes de paiement: Oui =1, Non =0</t>
  </si>
  <si>
    <t>Hall d’ascenseurs, tous les étages: Oui =1, Non =0</t>
  </si>
  <si>
    <t>Cages d’escalier, chaque niveau: Oui =1, Non =0</t>
  </si>
  <si>
    <t>Entrées piétons: Oui =1, Non =0</t>
  </si>
  <si>
    <t>La plupart des aires de stationnement (65%):Oui =3, Non =0</t>
  </si>
  <si>
    <t>Rampes: Oui = 1, Non = 0</t>
  </si>
  <si>
    <t>Personnel joignable via:</t>
  </si>
  <si>
    <t>Interphonie aux bornes de paiement et/ou aux entrées contrôlées (24h/24 7j/7=3, Durant les heures d’ouverture si pas 24h/24= 2, Partiellement ou absent = 0)</t>
  </si>
  <si>
    <t>Système d’appel d’urgence dans les aires de stationnements (24h/24 7j/7=3, Durant les heures d’ouverture si pas 24h/24= 2, Partiellement ou absent = 0)</t>
  </si>
  <si>
    <t>Personnel présent, reconnaissable et patrouillant dans le parking
(24h/24 7j/7 = 3, Durant toutes les heures d’ouverture = 2, Partiellement durant les heures d’ouverture  = 1, Indisponible = 0)</t>
  </si>
  <si>
    <t>Fermeture des entrées/sorties véhicules: 
(Portails ou volets fermés après heures d’ouverture = 2, Mécanisme de fermeture sécurisé rapide durant heures d’ouverture= 4, Mécanisme de fermeture sécurisé lent durant heures d’ouverture = 2, Pas de mécanisme = 0)</t>
  </si>
  <si>
    <t>Fermeture des entrées/sorties piétons (après les heures d'ouverture).
(Porte/portail/volet avec &lt;= 15cm d’espace maximum entre barreaux = 2, au-delà de 15 cm = 0, Aucune disposition = 0, Pas d’application (ouverture 24h/24) = 2)</t>
  </si>
  <si>
    <t>Grilles vers ouvertures extérieures &amp; grilles de sécurité
(&lt;= 15 cm d’espace= 2, &gt; 15 cm ou pas de  protection= 0, Pas d’application (pas d’ouvertures extérieures) = 2)</t>
  </si>
  <si>
    <t>Trouver son chemin dans et à l’extérieur du parking</t>
  </si>
  <si>
    <t>Identification des places libres</t>
  </si>
  <si>
    <t>Par étage (oui/bon = 2, non/mauvais= 0)</t>
  </si>
  <si>
    <t>Par rangée (Oui/bon = 1, non/mauvais = 0)</t>
  </si>
  <si>
    <t>Par place individuelle (oui/bon= 2, non/mauvais = 0)</t>
  </si>
  <si>
    <t>Trouver son chemin au volant de son véhicule</t>
  </si>
  <si>
    <t>Les étages sont-ils clairement et séparément identifiables pour le conducteur? (Bon =3, Adéquat =2, Faible =1, Non =0)</t>
  </si>
  <si>
    <t>Les sous sections par étages sont-elles clairement identifiables pour le conducteur? (Bon=3, Adéquat =2, Faible=1, Non =0)</t>
  </si>
  <si>
    <t>Y a-t-il une identification ou un marquage spécifique sur le sol pour aider les piétons à trouver leur chemin ?
(Bon=2, Par-çi par-là=1, absent= 0)</t>
  </si>
  <si>
    <t>Les aires de stationnement sont-elles numérotées individuellement 
(Numérotation reprenant une indication d’étage=2, Juste une numérotation=1, absent =0)</t>
  </si>
  <si>
    <t>Utilisation de couleurs pour trouver son chemin
(Oui= 1, Non= 0)</t>
  </si>
  <si>
    <t>Signalisation en rue à l’attention des conducteurs pour trouver le chemin vers le parking</t>
  </si>
  <si>
    <t>Uniquement signalisation statique (Oui= 1, Non = 0)</t>
  </si>
  <si>
    <t>Additionnellement signalisation dynamique (Oui= 1, Non = 0)</t>
  </si>
  <si>
    <t>Signalisation lumineuse à l’entrée du parking</t>
  </si>
  <si>
    <t>Signalisation directionnelle fléchée (flèche verte, croix rouge) (Oui = 1, Non = 0)</t>
  </si>
  <si>
    <t>Signalisation Libre/Complet (Oui = 1, Non = 0)</t>
  </si>
  <si>
    <t>Signalisation vers les entrées piétons (Oui = 1, Non = 0)</t>
  </si>
  <si>
    <t>Confort et Divers</t>
  </si>
  <si>
    <t>Panneau d’affichage aux entrées/sorties piétons indiquant:</t>
  </si>
  <si>
    <t>Heures d’ouverture normales/spécifiques (oui = 1, non = 0)</t>
  </si>
  <si>
    <t>Affichage du tarif lisible et compréhensible (Oui = 1, non = 0)</t>
  </si>
  <si>
    <t>Règlement intérieur et conditions  (Oui = 1, non = 0)</t>
  </si>
  <si>
    <t>Moyens de paiement (paiement à la sortie/paiement à la caisse automatique):</t>
  </si>
  <si>
    <t>Monnaie? (oui =1, non =0)</t>
  </si>
  <si>
    <t>Change rendu? (oui =1, non =0)</t>
  </si>
  <si>
    <t>Billets de banque?  (oui=1, non =0)</t>
  </si>
  <si>
    <t>Cartes de crédit?  (oui =1, non =0)</t>
  </si>
  <si>
    <t>Par téléphone portable? (oui =1, non =0)</t>
  </si>
  <si>
    <t>Par carte/gsm à la sortie? (oui =1, non =0)</t>
  </si>
  <si>
    <t>Identification et paiement sur base plaque immatriculation? (oui =1, non =0)</t>
  </si>
  <si>
    <t>Acceptation d’autres cartes: Combien? (1 point par moyen supplémentaire jusqu’à 3 pts.)</t>
  </si>
  <si>
    <t>Au guichet du préposé: (oui = 1, non = 0)</t>
  </si>
  <si>
    <t>Betaling aan bemande kassa: 
• Ja = 1, Nee = 0</t>
  </si>
  <si>
    <t>Est-ce un parking sans barrières ( paiement à une borne) ?</t>
  </si>
  <si>
    <t>Toilettes publiques:</t>
  </si>
  <si>
    <t>Y en a-t-il? (oui= 2, non= 0)</t>
  </si>
  <si>
    <t>Toilettes spécifiques pour handicapés? (oui=1, non= 0)</t>
  </si>
  <si>
    <t>Toilettes uniques= 0, Hommes/femmes séparés= 1</t>
  </si>
  <si>
    <t>Présence d’un préposé aux toilettes: oui=1, non= 0</t>
  </si>
  <si>
    <t>Usage de couleurs/ embellissements</t>
  </si>
  <si>
    <t>Piliers en couleurs =1, non/béton brut = 0</t>
  </si>
  <si>
    <t>Murs en couleurs =1, non/béton brut = 0</t>
  </si>
  <si>
    <t>Embellissement supplémentaire</t>
  </si>
  <si>
    <t>Oeuvre d’art: (Oui = 2, Non = 0)</t>
  </si>
  <si>
    <t>Plantes: (Oui = 1, Non = 0)</t>
  </si>
  <si>
    <t>Autres: (Oui = 1, Non = 0)</t>
  </si>
  <si>
    <t>Couverture telephones portables (Oui = 2, Non = 0)</t>
  </si>
  <si>
    <t>Couverture signal radio (Oui = 1, Non = 0</t>
  </si>
  <si>
    <t>Musique</t>
  </si>
  <si>
    <t>Musique en arrière-fond: Oui = 2, Non = 0</t>
  </si>
  <si>
    <t>Action pour faciliter l’orientation dans parking : Oui =1, Non = 0</t>
  </si>
  <si>
    <t>Energie et Environnement</t>
  </si>
  <si>
    <t>Système d’économie d’éclairage</t>
  </si>
  <si>
    <t>Système pour gérer les pics de consommation (Oui=1, Non=0)</t>
  </si>
  <si>
    <t>Détection de mouvement, variation de la luminosité  (oui= 2, non= 0)</t>
  </si>
  <si>
    <t xml:space="preserve">Luminosité variable en fonction de la lumière du jour à l’entrée du parking. 
(oui= 2, non= 0)
</t>
  </si>
  <si>
    <t xml:space="preserve">Luminosité variable dans les étages en fonction de la luminosité extérieure 
(oui= 2, non= 0, Pas d’application (parking sous-terrain) =2)
</t>
  </si>
  <si>
    <t>Panneaux solaires sur le toit ou autre initiative d’énergie verte (oui= 2, non= 0)</t>
  </si>
  <si>
    <t>Traitement eaux usées ( séparation hydrocarbures/ eaux sales):
•  oui= 2, non= 0</t>
  </si>
  <si>
    <t>Séparation eaux potables/eaux de nettoyage, récupération eaux de pluie 
•  oui= 2, non= 0</t>
  </si>
  <si>
    <t>Bornes de rechargement pour véhicules électriques: (Oui, plusieurs bornes= 2, Une borne de rechargement=1, Absent=0)</t>
  </si>
  <si>
    <t>Autres initiatives environnementales ou d’émissions 0 CO
•  oui= 2, non= 0</t>
  </si>
  <si>
    <t>Points malus</t>
  </si>
  <si>
    <t>Présence de Graffitis</t>
  </si>
  <si>
    <t>Cages d’escaliers (Oui= -2, Non= 0)</t>
  </si>
  <si>
    <t>Ascenseurs (Oui= -2, Non= 0)</t>
  </si>
  <si>
    <t>Toilettes (Oui= -2, No= 0)</t>
  </si>
  <si>
    <t>Parking (Oui= -2, Non= 0)</t>
  </si>
  <si>
    <t>Murs extérieurs (Oui= -2, Non= 0)</t>
  </si>
  <si>
    <t>Présence de déchets</t>
  </si>
  <si>
    <t>Toilettes (Oui= -2, Non= 0)</t>
  </si>
  <si>
    <t>Parking  (Oui= -2, Non= 0)</t>
  </si>
  <si>
    <t>A l’extérieur des entrées piétons et voitures (Oui= -2, Non= 0)</t>
  </si>
  <si>
    <t>Faible qualité de la peinture</t>
  </si>
  <si>
    <t>Cages d’escaliers (Oui= 2, Non= 0)</t>
  </si>
  <si>
    <t>Faible qualité des marquages au sol (Oui= 2, Non= 0)</t>
  </si>
  <si>
    <t>Faible qualité/manquements au niveau de la maintenance (nids de poule ,dégâts divers,..)</t>
  </si>
  <si>
    <t>Sol (Oui= -2, Non= 0)</t>
  </si>
  <si>
    <t>Murs (Oui= -2, Non= 0)</t>
  </si>
  <si>
    <t>Traces évidentes d’eau stagnante(Oui= -2, Non= 0)</t>
  </si>
  <si>
    <t>Odeurs désagréables</t>
  </si>
  <si>
    <t>Sol du parking (Oui= -2, Non= 0)</t>
  </si>
  <si>
    <t>Plus de 15% des emplacements en cul-de sac sans indication d’occupation. (Oui= 5, Non=0)</t>
  </si>
  <si>
    <t>Autres points de critiques (à expliquer!)
[Par ex. Bruit assourdissant, bruit de pneus sur le sol (epoxy), présence d’individus non désirés, etc.] jusqu’à -10</t>
  </si>
  <si>
    <t>Points bonus</t>
  </si>
  <si>
    <t>Dispositions supplémentaires dans le parking</t>
  </si>
  <si>
    <t>Espace spécifique pour motos (Oui= 1, Non= 0)</t>
  </si>
  <si>
    <t>Consignes sécurisées pour clients (Oui= 1, Non= 0)</t>
  </si>
  <si>
    <t>Autres aides(Oui= 1, Non= 0)</t>
  </si>
  <si>
    <t>Location de vélos (Oui= 1, Non= 0)</t>
  </si>
  <si>
    <t>Autres assistances aux conducteurs (Oui= 1, Non= 0)</t>
  </si>
  <si>
    <t>Distributeurs boissons, friandises (Oui= 1, Non= 0)</t>
  </si>
  <si>
    <t>Défibrilateur (Oui= 1, Non= 0)</t>
  </si>
  <si>
    <t>Personnel formé aux premiers secours (Oui= 1, Non= 0)</t>
  </si>
  <si>
    <t>Données traffic en temps réel (Yes= 1, Non= 0)</t>
  </si>
  <si>
    <t>Autres informations actualisées  (par ex. Évènements locaux) (Oui= 1, Non= 0)</t>
  </si>
  <si>
    <t>Mesures pour fluidifier le traffic en heure de pointe (par ex. usage d’une voie bidirectionnelle alternative en entrée/sortie) - (Oui= 3, Non= 0)</t>
  </si>
  <si>
    <t>Possibilité de faire demi-tour avant la barrière d’hauteur ou l’indication “complet” sans devoir faire marche arrière (Oui= 3, Non= 0)</t>
  </si>
  <si>
    <t>Guichet service clientèle (Oui= 1, Non= 0)</t>
  </si>
  <si>
    <t>Autres points positifs par ex. services extras, personnel particulièrement accueillant,bonne intégration du parking dans le tissu urbain, etc..jusqu’à 10 points supplémentaires (à expliquer !)</t>
  </si>
  <si>
    <t>Escalators  et/ou tapis roulants 
(Depuis/jusqu’à tous les étages =5, De/jusqu’à certains étages =3, Pas d’ escalators ou Tapis roulants = 0)</t>
  </si>
  <si>
    <t>Localisation du véhicule garé via numéro ticket ou plaque d’immatriculation 
(Oui= 1, Non= 0)</t>
  </si>
  <si>
    <t>Matin</t>
  </si>
  <si>
    <t>Après-midi</t>
  </si>
  <si>
    <t>Soir</t>
  </si>
  <si>
    <t>Ensoleillé</t>
  </si>
  <si>
    <t>Nuageux</t>
  </si>
  <si>
    <t>Pluvieux</t>
  </si>
  <si>
    <t>Crépuscule</t>
  </si>
  <si>
    <t>Nuit</t>
  </si>
  <si>
    <t>Environ 50%</t>
  </si>
  <si>
    <t>Accepté</t>
  </si>
  <si>
    <t>Refusé</t>
  </si>
  <si>
    <t>Oui</t>
  </si>
  <si>
    <t>Non</t>
  </si>
  <si>
    <t>Sans rapport</t>
  </si>
  <si>
    <t>Signalisation claire</t>
  </si>
  <si>
    <t>Signalisation incomplète</t>
  </si>
  <si>
    <t>Pas de signalisation</t>
  </si>
  <si>
    <t>0% - 2 %</t>
  </si>
  <si>
    <t>2% - 5 %</t>
  </si>
  <si>
    <t>Supérieur à 5%</t>
  </si>
  <si>
    <t>Pas de protection</t>
  </si>
  <si>
    <t>Anti-dérapant</t>
  </si>
  <si>
    <t>Glissant si mouillé</t>
  </si>
  <si>
    <t>Pilier n’envahissant pas la surface de stationnement</t>
  </si>
  <si>
    <t>Pilier en début d’aire de stationnement</t>
  </si>
  <si>
    <t>Pilier à hauteur des portières de véhicule</t>
  </si>
  <si>
    <t>Bon</t>
  </si>
  <si>
    <t>Moyen</t>
  </si>
  <si>
    <t>Mauvais</t>
  </si>
  <si>
    <t>2.25 m - 2.30 m</t>
  </si>
  <si>
    <t>2.30 m - 2.35 m</t>
  </si>
  <si>
    <t>2.35 m - 2.40 m</t>
  </si>
  <si>
    <t>2.40 m - 2.45 m</t>
  </si>
  <si>
    <t>2.45 m - 2.50 m</t>
  </si>
  <si>
    <t>Supérieur à 2.50m</t>
  </si>
  <si>
    <t>Conforme au tableau</t>
  </si>
  <si>
    <t>Jusqu’à 30cm de moins</t>
  </si>
  <si>
    <t>Jusqu’à 60cm de moins</t>
  </si>
  <si>
    <t>Plus de 60cm de moins</t>
  </si>
  <si>
    <t>Lisse</t>
  </si>
  <si>
    <t>Pas de rampe</t>
  </si>
  <si>
    <t>Oui ( ouverture automatique ou connexion ouverte)</t>
  </si>
  <si>
    <t>Ouverture aisée</t>
  </si>
  <si>
    <t>Absent</t>
  </si>
  <si>
    <t>Un ascenseur</t>
  </si>
  <si>
    <t>Deux ascenseurs ou plus</t>
  </si>
  <si>
    <t>Entre 4 et 8 personnes</t>
  </si>
  <si>
    <t>Moins de 4 personnes</t>
  </si>
  <si>
    <t>Pas de visibilité depuis l’ascenseur</t>
  </si>
  <si>
    <t>Portes/murs vitré(e)s</t>
  </si>
  <si>
    <t>Pas d’ascenseur</t>
  </si>
  <si>
    <t>Pas de vitres</t>
  </si>
  <si>
    <t>Pas de main courante</t>
  </si>
  <si>
    <t>D’un seul côté</t>
  </si>
  <si>
    <t>Des deux côtés</t>
  </si>
  <si>
    <t>Fenêtres/Grilles</t>
  </si>
  <si>
    <t>Aucun</t>
  </si>
  <si>
    <t>24h/24 - 7j/7</t>
  </si>
  <si>
    <t>Durant les heures d’ouverture si pas 24/24 – 7/7</t>
  </si>
  <si>
    <t>Partiellement / Non disponible</t>
  </si>
  <si>
    <t>Durant les heures d’ouverture</t>
  </si>
  <si>
    <t>Moins que les heures d’ouverture</t>
  </si>
  <si>
    <t>Portails ou volets fermés en dehors des heures d’ouverture</t>
  </si>
  <si>
    <t>Sécurisé: portail à ouverture rapide en journée</t>
  </si>
  <si>
    <t>Sécurisé: portail à ouverture lente en journée</t>
  </si>
  <si>
    <t>Pas de dispositif particulier</t>
  </si>
  <si>
    <t>Espace maximum entre barreaux portails/volets : =&gt; 15cm</t>
  </si>
  <si>
    <t>Espace maximum entre barreaux portails/volets :  &lt; 15cm</t>
  </si>
  <si>
    <t>Pas de barreaux</t>
  </si>
  <si>
    <t>Sans rapport (ouverture 24h/24)</t>
  </si>
  <si>
    <t>Sans rapport (pas d’ouvertures extérieures)</t>
  </si>
  <si>
    <t>Oui/Bon</t>
  </si>
  <si>
    <t>Non/Mauvais</t>
  </si>
  <si>
    <t>Adéquat</t>
  </si>
  <si>
    <t>Faible</t>
  </si>
  <si>
    <t>Clairement depuis tous les endroits</t>
  </si>
  <si>
    <t>Clairement depuis la plupart des endroits</t>
  </si>
  <si>
    <t>Clairement depuis certains endroits</t>
  </si>
  <si>
    <t>Pas de signalétique vers sorties de secours</t>
  </si>
  <si>
    <t>Parc de stationnement à un seul niveau</t>
  </si>
  <si>
    <t xml:space="preserve">Quelques </t>
  </si>
  <si>
    <t>Numérotation incluant  identification de l’étage</t>
  </si>
  <si>
    <t>Juste numérotation</t>
  </si>
  <si>
    <t>Une seule borne d’encaissement</t>
  </si>
  <si>
    <t>Plus qu’une borne d’encaissement</t>
  </si>
  <si>
    <t>Une à chaque entrée piétons,excepté sortie secours</t>
  </si>
  <si>
    <t>Plus d’une borne à chaque entrée piétons</t>
  </si>
  <si>
    <t>Une</t>
  </si>
  <si>
    <t>Hommes/Femmes séparés</t>
  </si>
  <si>
    <t>Piliers peints</t>
  </si>
  <si>
    <t>Non peints / béton brut</t>
  </si>
  <si>
    <t>Murs peints</t>
  </si>
  <si>
    <t>Vers/depuis tous les étages</t>
  </si>
  <si>
    <t>De/vers certains étages</t>
  </si>
  <si>
    <t>Pas d’escalators ou tapis roulants</t>
  </si>
  <si>
    <t>10-15%</t>
  </si>
  <si>
    <t>Pas de rampes</t>
  </si>
  <si>
    <t>Pas d’inclinaison</t>
  </si>
  <si>
    <t>Complet</t>
  </si>
  <si>
    <t>Incomplet</t>
  </si>
  <si>
    <t>Conforme</t>
  </si>
  <si>
    <t>Commentaires</t>
  </si>
  <si>
    <t>Nombre de OK</t>
  </si>
  <si>
    <t>Nombre de NOK</t>
  </si>
  <si>
    <t>Non évalué</t>
  </si>
  <si>
    <t>Nombre de sections</t>
  </si>
  <si>
    <t>Nombre de sections et sous-sections</t>
  </si>
  <si>
    <t>Nombre de sections complètes</t>
  </si>
  <si>
    <t>Nombre de sections non évaluées</t>
  </si>
  <si>
    <t>Score maximum</t>
  </si>
  <si>
    <t>Pourcentage</t>
  </si>
  <si>
    <t>Pondération de la section</t>
  </si>
  <si>
    <t>Evaluation globale</t>
  </si>
  <si>
    <t>Catégorie</t>
  </si>
  <si>
    <t>A compléter</t>
  </si>
  <si>
    <t>% obtenu</t>
  </si>
  <si>
    <t>Résultats</t>
  </si>
  <si>
    <t>Statut</t>
  </si>
  <si>
    <t>% nombre réponse requise</t>
  </si>
  <si>
    <t>Sous-total</t>
  </si>
  <si>
    <t>Total</t>
  </si>
  <si>
    <t>Condition minimum pour obtention ESPA</t>
  </si>
  <si>
    <t>Label ESPA</t>
  </si>
  <si>
    <t>Liste des sections</t>
  </si>
  <si>
    <t>Résultats mesurés</t>
  </si>
  <si>
    <t>Contribution maximale résultat final</t>
  </si>
  <si>
    <t>Contribution résultat final</t>
  </si>
  <si>
    <t>Remarques</t>
  </si>
  <si>
    <t>espa2014</t>
  </si>
  <si>
    <t>pw</t>
  </si>
  <si>
    <t>Trappenhuizen en andere voetgangersruimten; op vloerhoogte
• &gt; 90 Lux = 3; 
• 30-90  Lux = 0,05punt per Lux boven 30;
• &lt; 30 Lux = 0;</t>
  </si>
  <si>
    <t>Verkeersborden voor beperkingen in de garage. 
• Duidelijk en compleet conform RVV = 3 
• Gedeeltelijk complete bebording = 2 
• Geen bebording = 0</t>
  </si>
  <si>
    <t>Readibility of tariff system:</t>
  </si>
  <si>
    <t>Information on:</t>
  </si>
  <si>
    <t>Height barrier</t>
  </si>
  <si>
    <t>Correct sign at entrance</t>
  </si>
  <si>
    <t>Car park headroom limit identified at entrance</t>
  </si>
  <si>
    <t>Ruw oppervlak op in- en uitrit helling
Ruw = 1, Glad = 0, geen helling = 1</t>
  </si>
  <si>
    <t>Signage for car driver:</t>
  </si>
  <si>
    <t>Do traffic signs conform to national road code?</t>
  </si>
  <si>
    <t>Complete ?</t>
  </si>
  <si>
    <t>Unambiguous ?</t>
  </si>
  <si>
    <t>Parking bay marks</t>
  </si>
  <si>
    <t>Guidance to disabled spaces ?</t>
  </si>
  <si>
    <t>Parkeerhoek bij 85 % van de vakken:
 76-90° = 0,   45-75° = 2</t>
  </si>
  <si>
    <t>Hellingbanen tussen parkeervloeren
• Ruw = 1, Glad = 0, N.v.t. = 1</t>
  </si>
  <si>
    <t>Hellingbanen tussen parkeervloeren (waarop niet wordt geparkeerd)
• &lt;10% =3, 10 -15% =1, &gt; 15% =0, geen = 3</t>
  </si>
  <si>
    <t xml:space="preserve">Ramp width (between kerbs) all ramps measured at narrowest point </t>
  </si>
  <si>
    <t>Straal buitenkant van gebogen hellingbanen:
• &lt; 9m =0,  9 – 10 m =1, &gt; 10m  = 2, 
Bij hellingbanen voor twee richtingen geldt deze maat voor de binnenste rijstrook.</t>
  </si>
  <si>
    <t>Stairs (incl. heightened visibility of steps)</t>
  </si>
  <si>
    <t>Identification of vacant parking spaces</t>
  </si>
  <si>
    <t>Notice-board at pedestrian entrance/exit showing:</t>
  </si>
  <si>
    <t>Nombre de bornes de paiement pour un parking équipés de barrières:
(Une borne de paiement = 0,  Plus que une =1, Une à chaque entrée piétons excepté les portes de secours=2, Une à chaque entrée piétons =3)</t>
  </si>
  <si>
    <t>Nombre de bornes de paiement pour un parking sans barrières
(Une =0, &lt; 1 par 50 emplacements =2, &gt;1 par 50 emplacements=3)</t>
  </si>
  <si>
    <t>Movement detection variable lights, remaining quality (yes= 2, no= 0)</t>
  </si>
  <si>
    <t>Adaptable lighting for daylight compensation at entrance area 
(yes= 2, no= 0)</t>
  </si>
  <si>
    <t>Voitures partagées ou autres initiatives semblables
•  oui= 2, non= 0</t>
  </si>
  <si>
    <t>Geleiding naar de invalidenplaatsen?</t>
  </si>
  <si>
    <t>Notes</t>
  </si>
  <si>
    <t>Reacties</t>
  </si>
  <si>
    <t>Active Language</t>
  </si>
  <si>
    <t>Language Selected:</t>
  </si>
  <si>
    <t>Language Selected</t>
  </si>
  <si>
    <t>Please enter your password to umprotect ESPA Worksheet:</t>
  </si>
  <si>
    <t>Password Input</t>
  </si>
  <si>
    <t>You have entered an incorrect password. ESPA Worksheets could not be umprotected.</t>
  </si>
  <si>
    <t>Incorrect Password</t>
  </si>
  <si>
    <t>This will erase all data in ESPA Worksheet. Are you sure?</t>
  </si>
  <si>
    <t>This will print 13 pages on your active printer. Are you sure?</t>
  </si>
  <si>
    <t>Alert</t>
  </si>
  <si>
    <t>Deutsch</t>
  </si>
  <si>
    <t>Morgen</t>
  </si>
  <si>
    <t>Nachmittag</t>
  </si>
  <si>
    <t>Abend</t>
  </si>
  <si>
    <t>sonnig</t>
  </si>
  <si>
    <t>bewölkt</t>
  </si>
  <si>
    <t>Regen</t>
  </si>
  <si>
    <t>Dämmerung</t>
  </si>
  <si>
    <t>Nacht</t>
  </si>
  <si>
    <t>etwa 50%</t>
  </si>
  <si>
    <t xml:space="preserve"> 25% - 50%</t>
  </si>
  <si>
    <t>Mangel</t>
  </si>
  <si>
    <t>Nein</t>
  </si>
  <si>
    <t>unzutreffend</t>
  </si>
  <si>
    <t>verständliche Beschilderung</t>
  </si>
  <si>
    <t>unvollständige Beschilderung</t>
  </si>
  <si>
    <t>keine Beschilderung</t>
  </si>
  <si>
    <t>über 5%</t>
  </si>
  <si>
    <t>kein Schutz</t>
  </si>
  <si>
    <t>Keine Schrammborde im Ein-/Ausfahrtsbereich</t>
  </si>
  <si>
    <t>rutschhemmend</t>
  </si>
  <si>
    <t>rutschig wenn naß</t>
  </si>
  <si>
    <t>Stütze beeinträchtigt den Stellplatz nicht</t>
  </si>
  <si>
    <t>Stütze am Beginn des Stellplatzes</t>
  </si>
  <si>
    <t>Stütze nahe der Fahrzeugtür</t>
  </si>
  <si>
    <t>Stütze am Stellplatzende aber beeinträchtigt den Stellplatz</t>
  </si>
  <si>
    <t>Gut</t>
  </si>
  <si>
    <t>Mittel</t>
  </si>
  <si>
    <t>Schlecht</t>
  </si>
  <si>
    <t>Winkel 76°-90°</t>
  </si>
  <si>
    <t>Winkel 45°-75°</t>
  </si>
  <si>
    <t xml:space="preserve"> über 2.50 m</t>
  </si>
  <si>
    <t>bis zu 30 cm weniger</t>
  </si>
  <si>
    <t>bis zu 60 cm weniger</t>
  </si>
  <si>
    <t>über 60 cm weniger</t>
  </si>
  <si>
    <t>weich</t>
  </si>
  <si>
    <t>Keine Rampen</t>
  </si>
  <si>
    <t>Ja (automatisch oder offene Verbindung)</t>
  </si>
  <si>
    <t>Leicht zu öffnen</t>
  </si>
  <si>
    <t>Jeder Fußgängerausgang</t>
  </si>
  <si>
    <t>Eine Position</t>
  </si>
  <si>
    <t>Ein Aufzug</t>
  </si>
  <si>
    <t>Zwei oder mehr Aufzüge</t>
  </si>
  <si>
    <t>Mehr als 8 Personen</t>
  </si>
  <si>
    <t>4 bis 8 Personen</t>
  </si>
  <si>
    <t>Weniger als 4</t>
  </si>
  <si>
    <t>Keine Sicht aus dem Aufzug</t>
  </si>
  <si>
    <t>Verglaste Türen/Wände</t>
  </si>
  <si>
    <t>Kein Aufzug</t>
  </si>
  <si>
    <t>Kein Glas</t>
  </si>
  <si>
    <t>Kein Handlauf</t>
  </si>
  <si>
    <t>Eine Seite</t>
  </si>
  <si>
    <t>Zwei Seiten</t>
  </si>
  <si>
    <t>Fenster/vergittert</t>
  </si>
  <si>
    <t>Nichts</t>
  </si>
  <si>
    <t>Gesamte Öffnungszeit wenn nicht 24*7</t>
  </si>
  <si>
    <t>Teilweise/nicht verfügbar</t>
  </si>
  <si>
    <t>Während der Öffnungszeiten</t>
  </si>
  <si>
    <t>Weniger als die Öffnungszeiten</t>
  </si>
  <si>
    <t>Geschlossenes Tor/Rollgitter außerhalb der Öffnungszeit</t>
  </si>
  <si>
    <t>Gesichert: Schnelllauftor tagsüber</t>
  </si>
  <si>
    <t>Gesichert: langsam öffnendes Tor tagsüber</t>
  </si>
  <si>
    <t>Keine Sicherung</t>
  </si>
  <si>
    <t>Größte Öffnung in Tür/Tor/Rollgitter &lt;= 15cm</t>
  </si>
  <si>
    <t>Größte Öffnung in Tür/Tor/Rollgitter &gt; 15cm</t>
  </si>
  <si>
    <t>Keine Öffnung</t>
  </si>
  <si>
    <t>Unzutreffend (24 Stunden geöffnet)</t>
  </si>
  <si>
    <t>&gt;15 cm oder keine Sicherung</t>
  </si>
  <si>
    <t>Unzutreffend (keine Öffnungen nach außen)</t>
  </si>
  <si>
    <t>Ja/gut</t>
  </si>
  <si>
    <t>Nein/schlecht</t>
  </si>
  <si>
    <t>Befriedigend</t>
  </si>
  <si>
    <t>Deutlich von allen Standorten</t>
  </si>
  <si>
    <t>Deutlich von den meisten Standorten</t>
  </si>
  <si>
    <t>Deutlich von wenigen Standorten</t>
  </si>
  <si>
    <t>Keine Kennzeichnung von Fluchtwegen</t>
  </si>
  <si>
    <t>Keine</t>
  </si>
  <si>
    <t>1-geschossiges Parkhaus</t>
  </si>
  <si>
    <t>Einige</t>
  </si>
  <si>
    <t>Nummeriert einschießlich Geschoßidentifizierung</t>
  </si>
  <si>
    <t>Nur nummeriert</t>
  </si>
  <si>
    <t>Ein Bezahlstation</t>
  </si>
  <si>
    <t>Mehr als eine</t>
  </si>
  <si>
    <t>Eine an jedem Fußgängerzugang (außer reine Fluchtwege)</t>
  </si>
  <si>
    <t>Eine an jedem Fußgängerzugang</t>
  </si>
  <si>
    <t>Eine</t>
  </si>
  <si>
    <t>&lt; 1 pro 50 Stellplätze</t>
  </si>
  <si>
    <t>&gt; 1 pro 50 Stellplätze</t>
  </si>
  <si>
    <t>unisex</t>
  </si>
  <si>
    <t>Männer/Frauen getrennt</t>
  </si>
  <si>
    <t>Farbige Stützen</t>
  </si>
  <si>
    <t>Nein/Betongrau</t>
  </si>
  <si>
    <t>Farbige Wände</t>
  </si>
  <si>
    <t>Mehr als eine Aufladestation</t>
  </si>
  <si>
    <t>eine Aufladestation</t>
  </si>
  <si>
    <t>keine</t>
  </si>
  <si>
    <t>Zu/von allen Geschossen</t>
  </si>
  <si>
    <t>Zu/von einigen Geschossen</t>
  </si>
  <si>
    <t>Keine Rolltreppen oder Rollsteige</t>
  </si>
  <si>
    <t>Kein Gefälle</t>
  </si>
  <si>
    <t>Mindestbedingungen</t>
  </si>
  <si>
    <t>Das Parkhaus muss öffentlich sein</t>
  </si>
  <si>
    <t>Mindestdurchfahrtshöhe = 1.90 m im allgemein zugänglichen Bereich. Einzelne niedrigere Hindernisse müssen deutlich gekennzeichnet sein.</t>
  </si>
  <si>
    <t>Es müssen getrennte Ein- und Ausfahrtsspuren vorhanden sein. Tageszeitlich in wechselnder Fahrtrichtung genutzte Wechselspuren sind zulässig.</t>
  </si>
  <si>
    <t>Das Gefälle von Rampen darf 20 % nicht überschreiten. Es wird in der Fahrbahnachse gemessen. Bei mehrspurigen Rampen gilt dies jeweils für die innere (steilere) Spur.</t>
  </si>
  <si>
    <t xml:space="preserve">Bei bewirtschafteten Parkhäusern mit Zugangskontrolle durch Schranken oder Tore muss das Personal an allen Bezahlstationen, Ausfahrten sowie gesicherten Fußgängerzugängen z.B. kontaktierbar sein. </t>
  </si>
  <si>
    <t>Ein Zahlungsnachweis muss auf Verlangen herausgegeben werden.</t>
  </si>
  <si>
    <t>Alle Kurvenfahrten müssen ohne Zurückstoßen möglich sein (Parkierungsvorgänge und Sackgassen sind hiervon ausgenommen).</t>
  </si>
  <si>
    <t>Beleuchtung</t>
  </si>
  <si>
    <t>Positionsliste (Werte in Lux, bezüglich der Messungen siehe Benutzungsanleitung)</t>
  </si>
  <si>
    <t>Hilfsraster 2.8</t>
  </si>
  <si>
    <t>Ende des Parkplatzes unter/zwischen Beleuchtungspunkten</t>
  </si>
  <si>
    <t>Mitte des Parkplatzes unter/zwischen Beleuchtungspunkten</t>
  </si>
  <si>
    <t>Fahrbahnrand unter/zwischen Beleuchtungspunkten</t>
  </si>
  <si>
    <t>Fahrbahnmitte unter/zwischen Beleuchtungspunkten</t>
  </si>
  <si>
    <t>Anderer Fahrbahnrand unter/zwischen Beleuchtungspunkten</t>
  </si>
  <si>
    <t>Einfahrt / Ausfahrt</t>
  </si>
  <si>
    <t>An der Einfahrt angezeigte Durchfahrtshöhe</t>
  </si>
  <si>
    <t>Ordnungsgemäßes Zeichen an der Einfahrt</t>
  </si>
  <si>
    <t>Höhenbegrenzungsbalken</t>
  </si>
  <si>
    <t>Gummilippe am Höhenbegrenzungsbalken</t>
  </si>
  <si>
    <t>Information bezüglich:</t>
  </si>
  <si>
    <t>Einstellbedingungen des Betreibers innerhalb des Parkhauses</t>
  </si>
  <si>
    <t>Öffnungszeiten</t>
  </si>
  <si>
    <t>Parktarife</t>
  </si>
  <si>
    <t>Verständlichkeit der Parktarife</t>
  </si>
  <si>
    <t>Bauliche Ausbildung der Ein-/Ausfahrt</t>
  </si>
  <si>
    <t>Einfahrt: Ticketgeber gut zu erreichen</t>
  </si>
  <si>
    <t>Ausfahrt: Ausfahrtskontrollgerät gut zu erreichen</t>
  </si>
  <si>
    <t>Längsgefälle im Bereich der Ticketgeber und Ausfahrtskontrollgeräte</t>
  </si>
  <si>
    <t>Zugangskontrolle</t>
  </si>
  <si>
    <t>Schranke</t>
  </si>
  <si>
    <t>Sprechstelle</t>
  </si>
  <si>
    <t>Videoüberwachung</t>
  </si>
  <si>
    <t>Kennzeichenerkennung</t>
  </si>
  <si>
    <t>Schnelllauftore über die ganze Höhe</t>
  </si>
  <si>
    <t>Bemannte Einfahrt/Ausfahrt</t>
  </si>
  <si>
    <t>Ausfahrt: die Gefällestrecke endet mindestens 5 m vor dem kreuzenden Verkehr (Fußgänger/Radfahrer).</t>
  </si>
  <si>
    <t>Zwischensumme Einfahrt/Ausfahrt</t>
  </si>
  <si>
    <t>Parkebenen</t>
  </si>
  <si>
    <t>Beschilderung für den Fahrverkehr</t>
  </si>
  <si>
    <t>Sind die Verkehrszeichen konform mit den nationalen Vorschriften?</t>
  </si>
  <si>
    <t>Wegweisung: Ist die Beschilderung leicht sichtbar, vollständig und unmissverständlich?</t>
  </si>
  <si>
    <t>Vollständig?</t>
  </si>
  <si>
    <t>Leicht zu sehen?</t>
  </si>
  <si>
    <t>Unmissverständlich?</t>
  </si>
  <si>
    <t>Ausfahrtsbeschilderung: Ist die Beschilderung leicht sichtbar, vollständig und unmissverständlich?</t>
  </si>
  <si>
    <t>Stellplatzmarkierung</t>
  </si>
  <si>
    <t>Sind die Stellplätze deutlich markiert?</t>
  </si>
  <si>
    <t>Sind die Markierungen bis auf die Wand verlängert um das Einparken zu erleichtern?</t>
  </si>
  <si>
    <t>Sind die Fahrbahnmarkierungen:</t>
  </si>
  <si>
    <t>Wird die Verfügbarkeit von Stellplätzen für Rollstuhlfahrer an der Einfahrt angezeigt?</t>
  </si>
  <si>
    <t>Zugänglich für Rollstühle?</t>
  </si>
  <si>
    <t>Sind die Plätze mindestens 3.50 m breit?</t>
  </si>
  <si>
    <t>Sind sie Nahe am Ausgang?</t>
  </si>
  <si>
    <t>Gibt es eine Hinweisbeschilderung zu den Stellplätzen für Behinderte?</t>
  </si>
  <si>
    <t>Aufstellwinkel für 85% der Stellplätze (Winkel 76-90° = 0, Winkel  45-75° = 2)</t>
  </si>
  <si>
    <t>Fahrzeugrampen</t>
  </si>
  <si>
    <t>Handelt es sich um ein 1-geschossiges Parkhaus ohne Rampen oder geneigte Parkebenen?</t>
  </si>
  <si>
    <t>Oberflächenausbildung der Rampe zwischen den Parkebenen (rutschhemmend 1; glatt 0, keine Rampen 1)</t>
  </si>
  <si>
    <t>Rampenbreite (zwischen Schrammborden), gemessen am engsten Punkt der Rampen</t>
  </si>
  <si>
    <t>Gekrümmte Rampen müssen für dieselbe Punktzahl um 1m breiter sein? Sind die Rampen gekrümmt?</t>
  </si>
  <si>
    <t>Fußgängereingang</t>
  </si>
  <si>
    <t>Positionsliste</t>
  </si>
  <si>
    <t>Ausgewiesene Fußwege (z.B.: baulich erhöht, Zebrastreifen oder farbig) (ja = 2, nein = 0)</t>
  </si>
  <si>
    <t>Ist der Fußgängereingang auch während der Öffnungszeiten mit einem Kartenleser gesichert ? (Ja=2,Nein=0)</t>
  </si>
  <si>
    <t>Wegweisung:</t>
  </si>
  <si>
    <t>Zu wichtigen Zielen außerhalb des Parkhauses (Ja=1, Nein=0):</t>
  </si>
  <si>
    <t>In der Umgebung des Parkhauses zu den Eingängen (Ja=1, Nein=0):</t>
  </si>
  <si>
    <t>Handelt es sich um ein 1-geschossiges Parkhaus auf Erdgeschoßniveau (keine offener Parkplatz)?</t>
  </si>
  <si>
    <t>Fahren der/die Aufzüge das Erdgeschoß/Straßenniveau an?</t>
  </si>
  <si>
    <t>Anzeige der Etage</t>
  </si>
  <si>
    <t>Im Aufzug</t>
  </si>
  <si>
    <t>Im Aufzugvorraum</t>
  </si>
  <si>
    <t>Verbindungstüren zu den Parkebenen</t>
  </si>
  <si>
    <t>Lichte Breite (&lt;90 cm =0, &gt;=90 cm = 2)</t>
  </si>
  <si>
    <t>Fluchttüren, standardmässig offen (ja=2, nein= 0)</t>
  </si>
  <si>
    <t>Sichtbeziehung (verglaste Türen/Wände = 3, kein Glas = 0)</t>
  </si>
  <si>
    <t>Sind Aufzüge die wichtigste Geschoßverbindung? (Treppen nur zweitrangig oder zur Entfluchtung)</t>
  </si>
  <si>
    <t>Treppenhäuser (Übersichtlichkeit und Orientierung)</t>
  </si>
  <si>
    <t>Übersichtlich  (ja= 1, nein = 0, unzutreffend = 1)</t>
  </si>
  <si>
    <t>Geschoßkennzeichnung (ja = 1, nein = 0, unzutreffend = 1)</t>
  </si>
  <si>
    <t>Treppen (einschließlich verbesserte Sichtbarkeit von Stufen)</t>
  </si>
  <si>
    <t>Breite (&lt; 1.5 m = 0, &gt; 1.5m = 2)</t>
  </si>
  <si>
    <t>Handläufe (Kein Handlauf = 0, einseitig = 1, beidseitig = 2)</t>
  </si>
  <si>
    <t>Verbesserte Sichtbarkeit von Stufen für Personen mit eingeschränkter Sehstärke (ja = 2, nein = 0)</t>
  </si>
  <si>
    <t>Rutschfester Belag auf den Stufen (ja = 2, nein = 0)</t>
  </si>
  <si>
    <t>Sicherheitseinrichtungen</t>
  </si>
  <si>
    <t>Videoüberwachung mit Ankündigung am Eingang = 3, Keine Videoüberwachung = 0</t>
  </si>
  <si>
    <t>Videoüberwachung an besonderen Stellen</t>
  </si>
  <si>
    <t>Einfahrt: ja = 1, nein = 0</t>
  </si>
  <si>
    <t>Ausfahrt: ja = 1, nein = 0</t>
  </si>
  <si>
    <t>Kassenautomat: ja = 1, nein = 0</t>
  </si>
  <si>
    <t>Aufzugvorraum, in allen Geschossen: ja = 1, nein = 0</t>
  </si>
  <si>
    <t>Treppenhäuser, in allen Geschossen: ja = 1, nein = 0</t>
  </si>
  <si>
    <t>Fußgängereingang: ja = 1, nein = 0</t>
  </si>
  <si>
    <t>Überwiegender Teil der Parkebenen (65%): ja = 3, nein = 0</t>
  </si>
  <si>
    <t>Rampen: ja = 1, nein = 0</t>
  </si>
  <si>
    <t>Personal kontaktierbar durch:</t>
  </si>
  <si>
    <t>Sprechstellen an den Kassenautomaten und/oder an den kontrollierten Zugängen (24h/7=3, während der Öffnungszeiten wenn nicht 24h/24 = 2, zeitweise oder gar nicht = 0)</t>
  </si>
  <si>
    <t>Notrufmelder in den Parkebenen (24/7 = 3, während der Öffnungszeiten wenn nicht 24/7 = 2, zeitweise oder gar nicht = 0)</t>
  </si>
  <si>
    <t>Wegweisung innerhalb und außerhalb des Parkhauses</t>
  </si>
  <si>
    <t>Anzeige von freien Stellplätzen</t>
  </si>
  <si>
    <t>Etagenweise (ja/gut = 2, nein/schlecht= 0)</t>
  </si>
  <si>
    <t>Gassenweise (ja/gut = 1, nein/schlecht= 0)</t>
  </si>
  <si>
    <t>Platzweise (ja/gut = 2, nein/schlecht= 0)</t>
  </si>
  <si>
    <t>Wegweisung für den fahrenden Verkehr</t>
  </si>
  <si>
    <t>Sind die Etagen für den Fahrer klar und deutlich gekennzeichnet? (gut =3, befriedigend =2, schlecht =1, gar nicht =0)</t>
  </si>
  <si>
    <t>Sind einzelne Bereiche für den Fahrer klar und deutlich gekennzeichnet? (gut =3, befriedigend =2, schlecht =1, gar nicht =0)</t>
  </si>
  <si>
    <t>Parkleitsystem</t>
  </si>
  <si>
    <t>Statisch (ja = 1, nein = 0)</t>
  </si>
  <si>
    <t>Dynamisch (ja = 1, nein = 0)</t>
  </si>
  <si>
    <t>Beleuchtete Anzeige an der Einfahrt</t>
  </si>
  <si>
    <t>Grüner Pfeil/rotes Kreuz-Anzeige (ja = 1, nein = 0)</t>
  </si>
  <si>
    <t>Frei/Besetzt-Anzeige (ja = 1, nein = 0)</t>
  </si>
  <si>
    <t>Anzeige an den Fußgängerzugängen (ja = 1, nein = 0)</t>
  </si>
  <si>
    <t>Komfort und verschiedenes</t>
  </si>
  <si>
    <t>Hinweisschild an den Fußgängerzugängen bezüglich :</t>
  </si>
  <si>
    <t>Öffnungszeiten übliche/besondere (ja = 1, nein = 0)</t>
  </si>
  <si>
    <t>Lesbare und verständliche Anzeige der Parktarife (ja = 1, nein = 0)</t>
  </si>
  <si>
    <t>Einstellbedingungen (ja = 1, nein = 0)</t>
  </si>
  <si>
    <t>Bezahlmöglichkeiten (Zahlung am Ein-/Ausgang/am Kassenautomat):</t>
  </si>
  <si>
    <t>Münzzahlung? (ja = 1, nein = 0)</t>
  </si>
  <si>
    <t>Wechselgeld? (ja = 1, nein = 0)</t>
  </si>
  <si>
    <t>Banknoten?  (ja = 1, nein = 0)</t>
  </si>
  <si>
    <t>Kreditkarten?  (ja = 1, nein = 0)</t>
  </si>
  <si>
    <t>Zahlung per Mobiltelefon? (ja = 1, nein = 0)</t>
  </si>
  <si>
    <t>Karten-/Handyzahlung am Ausgang? (ja = 1, nein = 0)</t>
  </si>
  <si>
    <t>Identifikation und Zahlung per Kennzeichenerkennung? (ja = 1, nein = 0)</t>
  </si>
  <si>
    <t>Akzeptanz anderer Karten: Wie viele? (1 Punkt je zusätzlicher Option bis 3 Punkte)</t>
  </si>
  <si>
    <t>Zahlung an besetzter Kasse: (ja = 1, nein = 0)</t>
  </si>
  <si>
    <t>Handelt es sich um ein Parkhaus ohne Schranken? (mit Parkscheinautomaten)?</t>
  </si>
  <si>
    <t>Öffentliche Toiletten:</t>
  </si>
  <si>
    <t>Vorhanden? (ja = 2, nein = 0)</t>
  </si>
  <si>
    <t>Behindertentoilette? (ja = 1, nein = 0)</t>
  </si>
  <si>
    <t>Toiletten unisex= 0, Frauen/Männer getrennt = 1</t>
  </si>
  <si>
    <t>Toilettenaufseher(-in): ja = 1, nein = 0</t>
  </si>
  <si>
    <t>Verwendung von Farben / Verschönerungen</t>
  </si>
  <si>
    <t>Farbige Stützen = 1, nein, betongrau = 0</t>
  </si>
  <si>
    <t>Farbige Wände = 1, nein, betongrau = 0</t>
  </si>
  <si>
    <t>Besondere verschönernde Elemente:</t>
  </si>
  <si>
    <t>Kunstwerke: (ja = 2, nein = 0)</t>
  </si>
  <si>
    <t>Pflanzen: (ja = 1, nein = 0)</t>
  </si>
  <si>
    <t>Sonstiges: (ja = 1, nein = 0)</t>
  </si>
  <si>
    <t>Handyempfang (ja = 2, nein = 0)</t>
  </si>
  <si>
    <t>Radioemfang (ja = 1, nein = 0)</t>
  </si>
  <si>
    <t>Musik</t>
  </si>
  <si>
    <t>Hintergrundmusik:  ja = 2, nein = 0</t>
  </si>
  <si>
    <t>Maßnahmen zur Erleichterung der Orientierung im Parkhaus:  ja = 1, nein = 0</t>
  </si>
  <si>
    <t>Energie und Umwelt</t>
  </si>
  <si>
    <t>Energiesparende Beleuchtung</t>
  </si>
  <si>
    <t>Elektronische Vorschaltgeräte (EVG) (ja = 1, nein = 0)</t>
  </si>
  <si>
    <t>Bewegungsgesteuerte Beleuchtung (ja = 2, nein = 0)</t>
  </si>
  <si>
    <t>Photovoltaik oder andere umweltfreundliche energetische Initiativen (ja = 2, nein = 0)</t>
  </si>
  <si>
    <t>Ladestationen für Elektrofahrzeuge: (ja, mehrere = 2, eine = 1, keine = 0)</t>
  </si>
  <si>
    <t>Minuspunkte</t>
  </si>
  <si>
    <t>Vorhandensein von Graffiti in den:</t>
  </si>
  <si>
    <t>Treppenhäusern (ja = -2, nein = 0)</t>
  </si>
  <si>
    <t>Aufzügen (ja = -2, nein = 0)</t>
  </si>
  <si>
    <t>Toiletten (ja = -2, nein = 0)</t>
  </si>
  <si>
    <t>Parkebenen (ja = -2, nein = 0)</t>
  </si>
  <si>
    <t>Außenwände (ja = -2, nein = 0)</t>
  </si>
  <si>
    <t>Vorhandensein von Schmutz in den</t>
  </si>
  <si>
    <t>Vor den Eingängen und Einfahrten (ja = -2, nein = 0)</t>
  </si>
  <si>
    <t>Schlechte Qualität von Anstrichen in den</t>
  </si>
  <si>
    <t>Schlechte Qualität der Bodenmarkierungen (ja = 2, nein = 0)</t>
  </si>
  <si>
    <t xml:space="preserve">Mangelhafte Instandhaltung (Schlaglöcher, bauliche Mängel, etc.) </t>
  </si>
  <si>
    <t>Boden (ja = -2, nein = 0)</t>
  </si>
  <si>
    <t>Wänden (ja = -2, nein = 0)</t>
  </si>
  <si>
    <t>Vorhandensein von Pfützen (ja = -2, nein = 0)</t>
  </si>
  <si>
    <t>Vorhandensein von üblen Gerüchen in den</t>
  </si>
  <si>
    <t>Über 15% der Stellplätze in Sackgassen ohne Anzeige der Belegung (ja = 5, nein = 0)</t>
  </si>
  <si>
    <t>Bonuspunkte</t>
  </si>
  <si>
    <t>Zusätzliche Einrichtungen im Parkhaus:</t>
  </si>
  <si>
    <t>Motorradstellplätze (ja = 1, nein = 0)</t>
  </si>
  <si>
    <t>Schließfächer (ja = 1, nein = 0)</t>
  </si>
  <si>
    <t>Andere Angebote (ja = 1, nein = 0)</t>
  </si>
  <si>
    <t>Fahrradverleih (ja = 1, nein = 0)</t>
  </si>
  <si>
    <t>Andere Fahrerservices (ja = 1, nein = 0)</t>
  </si>
  <si>
    <t>Verkaufsautomaten (ja = 1, nein = 0)</t>
  </si>
  <si>
    <t>Defibrillator (ja = 1, nein = 0)</t>
  </si>
  <si>
    <t>Personal mit Erste-Hilfe-Ausbildung (ja = 1, nein = 0)</t>
  </si>
  <si>
    <t>Echtzeit-Verkehrsinformationen (ja = 1, nein = 0)</t>
  </si>
  <si>
    <t>Andere aktuelle Informationen  (z.B. lokale Veranstaltungen) (ja = 1, nein = 0)</t>
  </si>
  <si>
    <t>Maßnahmen zur Verbesserung des Verkehrsablaufes in Spitzenstunden (z.B. tageszeitlich wechselnde Ein-/Ausfahrtsspuren) - (ja = 3, nein = 0)</t>
  </si>
  <si>
    <t>Wendemöglichkeit für Fahrzeuge vor der Höhenbegrenzung oder besondere Anzeigen zur Vermeidung von Rückwärtsfahrten  (ja = 3, nein = 0)</t>
  </si>
  <si>
    <t>Parkhausaufsicht mit Bedientresen (ja = 1, nein = 0)</t>
  </si>
  <si>
    <t>Andere positive Punkte oder Zusatzleistungen, wie freundliches Personal, gekachelte Wände/Böden, gutes Einfügen des Parkhauses in das Stadtbild usw. (zu beschreiben). (bis zu 10 Punkte).</t>
  </si>
  <si>
    <t xml:space="preserve">Gerade Rampen mit Einrichtungsverkehr müssen mindestens 2,70 m breit sein.
Gerade Gegenverkehrsrampen müssen mindestens 6 m breit sein und eine Fahrbahnmarkierung aufweisen.
Die Breite der Rampen wird zwischen Wänden oder Stützen gemessen.
</t>
  </si>
  <si>
    <t>Gekrümmte Rampen mit Einrichtungsverkehr müssen einen Außenradius von mindestens 8,00 m aufweisen und die Fahrbahn muss mindestens 3,50 m breit sein. Bei gekrümmten Rampen mit Gegenverkehr gilt dasselbe für die innere Spur. Die äußere Spur muss ebenfalls mindestens 3,50 m breit sein.</t>
  </si>
  <si>
    <t>Einfahrtsbereich, auf dem Boden
•  über 200 Lux = 5;
•  zwischen 75 - 200 Lux: 0,04 pt pro Lux über 75  
•  weniger als 75 Lux = 0</t>
  </si>
  <si>
    <t>Einfahrt ;  in 1 m Höhe beim Ticketgeber
•  über 200 Lux = 3;
•  zwischen 100 - 200 Lux: 0,03 pt pro Lux über 100
•  weniger als 100 Lux = 0</t>
  </si>
  <si>
    <t>Ausfahrt ;  in 1 m Höhe beim Ausfahrtskontrollgerät
•  über 200 Lux = 3;
•  zwischen 100 - 200 Lux: 0,03 pt pro Lux über 100
•  weniger als 100 Lux= 0</t>
  </si>
  <si>
    <t>In Treppenhäusern und anderen ausgewiesenen Fußgängerbereichen
•  über 90 Lux = 3;
•  zwischen 30 - 90 Lux: 0,05 pt pro Lux über 30
•  weniger als 30 Lux = 0;</t>
  </si>
  <si>
    <t>Beleuchtung der Parkebenen auf dem Boden: (bitte Raster unten eintragen) 
mittlere Beleuchtungsstärke innerhalb des Rasters:
•  über 100 Lux = 10;
•  zwischen 20 - 100 Lux: 0,125 pt pro Lux über 20 
•  weniger als 20 Lux= 0</t>
  </si>
  <si>
    <t>Gleichmäßigkeit der Beleuchtung (Standardabweichung)
•  weniger als 25% der mittleren Beleuchtungsstärke = 10;
•  zwischen  25 - 50%: 0,4 pt pro % unter 50%
•  über 50% =  0</t>
  </si>
  <si>
    <t>Durchfahrtshöhe:
(Das Parkhaus erhält 1 Punkt pro 10 cm Durchfahrtshöhe über 1,90 m und 2,20 m)</t>
  </si>
  <si>
    <t>Verkehrszeichen für Nutzungsbegrenzungen
(vollständige und eindeutige Beschilderung = 3, Beschilderung unvollständig = 2, keine Beschilderung = 0)</t>
  </si>
  <si>
    <t>Einfart:
(0-2% (das Fahrzeug bleibt auch ohne Bremse stehen) = 1, 2-5% = 0, über 5% = -1)</t>
  </si>
  <si>
    <t>Ausfahrt:
(0-2% (das Fahrzeug bleibt auch ohne Bremse stehen) = 1, 2-5% = 0, über 5% = -1)</t>
  </si>
  <si>
    <t xml:space="preserve">Schrammbordausbildung zum Schutz vor Beschädigung der Reifen und Felgen:
(ja = 2, kein Schutz = 0, keine Schrammborde im Ein-Ausfahrtsbereich = 2)
</t>
  </si>
  <si>
    <t>Rutschfeste Oberfläche im Ein-/Ausfahrtsbereich:
(rutschfest = 1, rutschig wenn nass = 0)</t>
  </si>
  <si>
    <t>Durchfahrtsbreite zwischen Bauteilen im Bereich der Einfahrt/Ausfahrt
(&lt; 3 m =0, 3 – 3.3 m =1, &gt; 3.3 m = 2)</t>
  </si>
  <si>
    <t>Stützen im Bereich von mindestens 85 % der Stellplätze:
(keine Beeinträchtigung des Stellplätze = 8, am Beginn der Stellplätze = 0, nahe der Fahrzeugtür = 0, am Ende aber mit Beeinträchtigung des Stellplatzes = 4)</t>
  </si>
  <si>
    <t>Übersichtlichkeit (viele/wenige tote Winkel, Wände in der Parkebene,etc.)
gut=4, mittel=2, schlecht=0</t>
  </si>
  <si>
    <t>Stellplatzbreite (85 % der Stellplätze), A oder B: 
A: Aufstellwinkel zwischen 76 – 90 Grad
(2.25m = -5, 2.30m = 0, 2.35m = 2, 2.40m = 4, 2.45m = 6, 2.50m = 8) 
B: Aufstellwinkel zwischen 45-75 degrés
(2.25m = -5, 2.30m = 1, 2.35m = 3, 2.40m = 5, 2.45m = 8)
Die Breite von 2.25m ist nur bei über 10 Jahre alten renovierten Parkhäusern zulässig. Neue Parkhäuser müssen eine Stellplatzbreite von mindestens 2.30m aufweisen.</t>
  </si>
  <si>
    <t xml:space="preserve">Parkgassenbreite  (Fahrbahn plus 2 Stellplätze) in Abhängigkeit der Stellplatzbreite und des Aufstellwinkels: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Breiten wie oben aufgeführt erhalten 3 Punkte. 
Breiten bis zu 30 cm weniger erhalten 2 Punkte
Breiten bis zu 60 cm weniger erhalten 1 Punkte
Über 60 cm weniger: 0 Punkte
</t>
  </si>
  <si>
    <t>Bauliche Ausbildung der Schrammborde zum Schutz vor Beschädigungen der Reifen und Felgen:
•  Ja = 2, kein Schutz = 0</t>
  </si>
  <si>
    <t>Gefälle der Geschoßverbindungsrampen (keine Parkrampen)
•  &lt;10%=3, 10-15%=1, &gt;15%=0, keine Rampen=3</t>
  </si>
  <si>
    <t>Rampenradius (Außenradius)
•  bis 9m=0, 9–10 m=1, &gt;10m=2, keine Rampen=2
Bei mehrspurigen Rampen gelten diese Angaben für die innere Spur.</t>
  </si>
  <si>
    <t>Eingangskurve zu geraden Rampen
•  &lt;7.5m=0, 7.5–9m=1, &gt;9m=2, keine Rampen=2</t>
  </si>
  <si>
    <t>Gefälle von Parkrampen (geneigte Parkebenen)
•  &lt;5%=3, 5-7 =1, &gt;7%=0, kein Gefälle =3</t>
  </si>
  <si>
    <t>Durchgangshöhe für Fußgänger (Türen ausgenommen)
(&lt;2.00m = 0, 2.00m – 2.10m = 1, 2.10m – 2.20m = 2, &gt; 2.20m = 3)</t>
  </si>
  <si>
    <t>Sind die Türen für Fußgänger leicht zu öffnen ?
(Ja, Automatiktüren oder offene Verbindung = 4, leicht zu öffnen = 2, nein = 0)</t>
  </si>
  <si>
    <t xml:space="preserve">Liegt ein Stadtplan an einem zentralen Punkt des Parkhauses aus ?:
(An jedem Fußgängerausgang= 2, An einer anderen Stelle = 1, Nein = 0)
</t>
  </si>
  <si>
    <t>Anzahl der Aufzüge, welche das Erdgeschoß/Straßenniveau  anfahren:
(1 Aufzug = 1, 2 Aufzüge oder mehr = 5)</t>
  </si>
  <si>
    <t>Größe der Aufzüge:
(über 8 Personen = 3, 4-8 Personen = 1, weniger als 4 Personen= 0)</t>
  </si>
  <si>
    <t>Sichtverbindung zwischen Aufzug und Vorraum/Parkebene :
(Keine Sichtverbindung = 0, Türen/Schachtwände verglast = 3, kein Aufzug = 0)</t>
  </si>
  <si>
    <t>Bedienelemente im Aufzug in behindertengerechter Höhe?
•  Ja = 1, andere = 0</t>
  </si>
  <si>
    <t>Öffnungen in Treppenhauswänden
(Fenster oder vergitterte Öffnungen ins Freie oder zu den Parkebenen = 2, keine Öffnungen = 0)</t>
  </si>
  <si>
    <t>Überwachung durch Personal (vor Ort oder durch Fernüberwachung)
•  ja = 5, nein = 0</t>
  </si>
  <si>
    <t>Patroullierendes Parkhauspersonal anwesend
(24/7 = 3, während der Öffnungszeiten wenn nicht 24/7 = 1, gar nicht = 0)</t>
  </si>
  <si>
    <t xml:space="preserve">Verschließbare Ein-/Ausfahrten: 
(geschlossene Tore oder Rollgitter außerhalb der Öffnungszeiten = 2, Schnellauftore während der Öffnungszeiten = 4, langsam laufende Tore während der Öffnungszeiten = 2, keine Sicherung = 0)
</t>
  </si>
  <si>
    <t>Verschließbare Ein-/Ausgänge außerhalb der Öffnungszeiten: 
(Türen, Tore oder Rollgitter mit Öffnungen &lt;= 15 cm = 2, &gt; 15 cm = 0, keine Sicherung = 0, unzutreffend (24 Stunden Öffnungszeit) = 2)</t>
  </si>
  <si>
    <t>Vergitterung von Öffnungen nach außen
(&lt;= 15 cm = 2, &gt; 15 cm oder kein Schutz= 0, unzutreffend (keine Öffnungen) = 2)</t>
  </si>
  <si>
    <t>Gibt es zusätzliche Schilder oder Anzeigen zur Verbesserung der Orientierung der Fußgänger?
(gut = 2, einige = 1, keine = 0)</t>
  </si>
  <si>
    <t>Sind die Stellplätze einzeln nummeriert?
(nummeriert mit Geschoßbezeichnung = 2, nur nummeriert = 1, nicht = 0)</t>
  </si>
  <si>
    <t>Verwendung von Farben zur Orientierung
(ja = 1, nein = 0)</t>
  </si>
  <si>
    <t>Anzahl der Bezahlstationen für beschrankte Parkhäuser:
(eine = 0, mehr als eine = 1, eine an jedem Fußgängerzugang (außer Notausgänge) = 2, eine an jedem Fußgängerzugang = 3)</t>
  </si>
  <si>
    <t>Anzahl der Parkscheinautomaten für unbeschrankte Parkhäuser:
(einer = 0, weniger als einer pro 50 Stellplätze = 1, mehr als einer pro 50 Stellplätze = 3)</t>
  </si>
  <si>
    <t>Adaptionsstrecke an der Einfahrt.
(ja = 2, nein = 0)</t>
  </si>
  <si>
    <t>An das Tageslicht anpassbare Beleuchtung der Parkebenen (z.B. Dämmerungsschalter)
(ja = 2, nein = 0, unzutreffend (Tiefgarage) = 2)</t>
  </si>
  <si>
    <t>Spezielle Behandlung von Schmutzwasser:
•  ja = 2, nein = 0</t>
  </si>
  <si>
    <t>Verwendung von Regenwasser als Brauchwasser (z.B. zur Reinigung oder Toilettenspülung)
•  ja = 2, nein = 0</t>
  </si>
  <si>
    <t>Car Sharing oder ähnliche Angebote
•  ja = 2, nein = 0</t>
  </si>
  <si>
    <t>Andere umweltfreundliche Initiativen, z.B. zur CO²-Reduzierung
•  ja = 2, nein = 0</t>
  </si>
  <si>
    <t>Verschiedene Kritikpunkte (zu erläutern!)
[z.B.: Lärm, quietschende Reifen, unerwünschtes Publikum, etc.] bis zu-10 Pkt.</t>
  </si>
  <si>
    <t>Rolltreppen oder Rollsteige
(von/zu allen Etagen = 5, nur zu bestimmten Etagen = 3, keine Rolltreppen oder Rollsteige = 0)</t>
  </si>
  <si>
    <t>Lokalisierung von Fahrzeugen durch den Parkschein oder das Fahrzeugkennzeichen
(ja = 1, nein = 0)</t>
  </si>
  <si>
    <t>vollständig</t>
  </si>
  <si>
    <t>unvollständig</t>
  </si>
  <si>
    <t>übereinstimmend</t>
  </si>
  <si>
    <t>Kommentare</t>
  </si>
  <si>
    <t>Anzahl von Übereinstimmungen</t>
  </si>
  <si>
    <t>Anzahl von Mängeln</t>
  </si>
  <si>
    <t>nicht überprüft</t>
  </si>
  <si>
    <t>bestanden</t>
  </si>
  <si>
    <t>nicht bestanden</t>
  </si>
  <si>
    <t>Summe der Positionen</t>
  </si>
  <si>
    <t>Summe der Positionen und Unterpositionen</t>
  </si>
  <si>
    <t>vollständige Positionen</t>
  </si>
  <si>
    <t>nicht gemessen</t>
  </si>
  <si>
    <t>Punktzahl</t>
  </si>
  <si>
    <t>Maximale Punktzahl</t>
  </si>
  <si>
    <t>Prozentsatz</t>
  </si>
  <si>
    <t>Wert der Kategorie</t>
  </si>
  <si>
    <t>Gesamtbewertung</t>
  </si>
  <si>
    <t>Kategorie</t>
  </si>
  <si>
    <t>Anzahl der Positionen</t>
  </si>
  <si>
    <t>Anzahl der Übereinstimmungen</t>
  </si>
  <si>
    <t>Anzahl der Mängel</t>
  </si>
  <si>
    <t>zu vervollständigen</t>
  </si>
  <si>
    <t>% erreicht</t>
  </si>
  <si>
    <t>Punktzahl der Kategorie</t>
  </si>
  <si>
    <t>erreichte Punktzahl</t>
  </si>
  <si>
    <t>% Vollständigkeit</t>
  </si>
  <si>
    <t>Zwischensummen</t>
  </si>
  <si>
    <t>Summen</t>
  </si>
  <si>
    <t>Mindestanforderung für ESPA Award</t>
  </si>
  <si>
    <t>Mindestpunktzahl dieser Kategorie</t>
  </si>
  <si>
    <t>ESPA Award</t>
  </si>
  <si>
    <t>Messwerte</t>
  </si>
  <si>
    <t>maximaler Beitrag zum Endergebnis</t>
  </si>
  <si>
    <t>Beitrag zum Endergebnis</t>
  </si>
  <si>
    <t>Anmerkungen</t>
  </si>
  <si>
    <t>Sprache</t>
  </si>
  <si>
    <t>Name des Parkhauses</t>
  </si>
  <si>
    <t>Stadt</t>
  </si>
  <si>
    <t>Anzahl der Stellplätze</t>
  </si>
  <si>
    <t>Betreiber</t>
  </si>
  <si>
    <t>Kontaktperson</t>
  </si>
  <si>
    <t>Telefon</t>
  </si>
  <si>
    <t>Geprüft von</t>
  </si>
  <si>
    <t>Prüfbedingungen</t>
  </si>
  <si>
    <t>Tageszeit</t>
  </si>
  <si>
    <t>Wetterbedingungen</t>
  </si>
  <si>
    <t>Auslastung</t>
  </si>
  <si>
    <t>(Not yet translated) Compliant with the table</t>
  </si>
  <si>
    <t>Parkeerhoek 76º-90º</t>
  </si>
  <si>
    <t>Parkeerhoek  45º-75º</t>
  </si>
  <si>
    <t>New Language</t>
  </si>
  <si>
    <t>Help in English</t>
  </si>
  <si>
    <t>Help in Dutch</t>
  </si>
  <si>
    <t>Alons enfants de patrie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</si>
  <si>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Amsterdam Philips Shell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</si>
  <si>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God save the queen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</si>
  <si>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Ich bin ein berliner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t>
  </si>
  <si>
    <t>Help in Deutsch</t>
  </si>
  <si>
    <t>Other Systems (Yes=1, No=0)</t>
  </si>
  <si>
    <t>Ja andere systemen= 1</t>
  </si>
  <si>
    <t>Autres systèmes (Oui=1, Non=0)</t>
  </si>
  <si>
    <t>Andere Systeme (ja = 1, nein = 0)</t>
  </si>
  <si>
    <t>Er moet ten minste één gescheiden inrit en uitrit zijn, extra wisselstroken zijn toegestaan.</t>
  </si>
  <si>
    <t>Alle hellingbanen voor auto's voor één richting moeten minstens 2,7 meter breed zijn; bij tweerichtingsverkeer minstens 6 meter breed met midden markering. De breedte wordt gemeten tussen wanden of kolommen.</t>
  </si>
  <si>
    <t>Gold Award</t>
  </si>
  <si>
    <t>Configurações</t>
  </si>
  <si>
    <t>Sistema</t>
  </si>
  <si>
    <t>A fazer:</t>
  </si>
  <si>
    <t>Help System</t>
  </si>
  <si>
    <t>Splash Screen</t>
  </si>
  <si>
    <t>Configuração Inicial do Parque</t>
  </si>
  <si>
    <t>Sistema de entradas e saídas.</t>
  </si>
  <si>
    <t>Mover tabela auxiliar para a página certa</t>
  </si>
  <si>
    <t>Versão</t>
  </si>
  <si>
    <t>Default email system</t>
  </si>
  <si>
    <t>Tabela de Worksheets</t>
  </si>
  <si>
    <t>Car Park Main Characteristics</t>
  </si>
  <si>
    <t>Number of Floors</t>
  </si>
  <si>
    <t>multi-storey open daylight</t>
  </si>
  <si>
    <t>multi-storey closed no daylight</t>
  </si>
  <si>
    <t>underground</t>
  </si>
  <si>
    <t>Type</t>
  </si>
  <si>
    <t>split level</t>
  </si>
  <si>
    <t>ramped parking floors</t>
  </si>
  <si>
    <t>floors with helicons or straight ramps</t>
  </si>
  <si>
    <t>other</t>
  </si>
  <si>
    <t>barrier/gate control</t>
  </si>
  <si>
    <t>P&amp;D control</t>
  </si>
  <si>
    <t>Available Countries</t>
  </si>
  <si>
    <t>Number of Lifts</t>
  </si>
  <si>
    <t>Changing languge will reset al your previous answers. Do you want to proceed?</t>
  </si>
  <si>
    <t>Year of Construction</t>
  </si>
  <si>
    <t>Minimum headroom = 2,00 m, generally in the public areas. Incidental lower obstacles must be clearly marked.</t>
  </si>
  <si>
    <t>Minimale inrijhoogte 2,00 m. Incidentele plaatsen met lagere hoogte moeten duidelijk gemarkeerd zijn.</t>
  </si>
  <si>
    <t>Hauteur minimale au plafond=2,00m dans la majorité des espaces dédiés au public. Les quelques éventuels passages plus bas doivent être clairement signalés .</t>
  </si>
  <si>
    <t>Mindestdurchfahrtshöhe = 2,00 m im allgemein zugänglichen Bereich. Einzelne niedrigere Hindernisse müssen deutlich gekennzeichnet sein.</t>
  </si>
  <si>
    <t>Mandatory Conditions for Gold Award</t>
  </si>
  <si>
    <t>70% of bays must be at least 2.40m wide.</t>
  </si>
  <si>
    <t>70% van de parkeervakken moet minstens 2.40m breed zijn.</t>
  </si>
  <si>
    <t>70% des emplacements doivent faire au moins 2.40m de large.</t>
  </si>
  <si>
    <t>70% der Stellplätze müssen mindestens 2,40 m breit sein.</t>
  </si>
  <si>
    <t>1.11</t>
  </si>
  <si>
    <t>Average light levels on parking area at floor is at minimum 20 Lux</t>
  </si>
  <si>
    <t>Average light levels on parking area at floor is at minimum 50 Lux</t>
  </si>
  <si>
    <t>M.8</t>
  </si>
  <si>
    <t>70% of bays must be at least 2.30m wide. For renovated car parks, over ten years old, minimum bay width of 2.25m is allowed (in that case a penalty applies - check M8).</t>
  </si>
  <si>
    <t>Penalty for Mandatory Condition 1.4 Applies</t>
  </si>
  <si>
    <t>At pay-machine; at 1 m height
•  Above 200 Lux =4;
•  Between100– 200 Lux: 0,04 pt per Lux over 100
•  Below 100 Lux= 0;
•  No Pay Machines : same as exit (enter zero if this is the case)</t>
  </si>
  <si>
    <t>At cashier; at counter height
•  Above 200 Lux =4;
•  Between100– 200 Lux: 0,04 pt per Lux over 100
•  Below 100 Lux= 0;
•  No cashier = 3 (enter zero if this is the case)</t>
  </si>
  <si>
    <t>8.10</t>
  </si>
  <si>
    <t>8.11</t>
  </si>
  <si>
    <t>Are fire escapes and escape routes clearly marked
• Clear from all locations = 3
• most locations= 2
• some locations=1
• No marking of escape routes=0)</t>
  </si>
  <si>
    <t>Zijn nooduitgangen en vluchtroutes duidelijk gemarkeerd? 
• Zichtbaar vanaf elke plek = 3
• Zichtbaar vanaf de meeste plekken = 2
• Zichtbaar vanaf sommige plekken =1
• Geen aanduiding van vluchtroutes = 0</t>
  </si>
  <si>
    <t>Les sorties de secours et les chemins d’évacuation sont-ils clairement identifiables
(Clairement depuis tous les endroits= 3, depuis la plupart des endroits= 2, depuis certains endroits=1, Pas de signalisation des chemins d’évacuation=0)</t>
  </si>
  <si>
    <t>Sind die Notausgänge und Rettungswege klar und deutlich gekennzeichnet?
(an allen Standorten = 3, an den meisten Standorten = 2, nur an einigen Standorten = 1, keine Kennzeichnung der Rettungswege = 0)</t>
  </si>
  <si>
    <t>Are floor levels clearly marked?
(good =3, adequate=2, poor=1, none =0. Single level car parks = 3)</t>
  </si>
  <si>
    <t>Zijn verdiepingen duidelijk aangegeven?
• goed =3, acceptabel=2
• matig=1, geen =0
• Garage met één verdieping = 3</t>
  </si>
  <si>
    <t>Les étages sont-ils clairement marqués?
(bon =3, adéquat=2, faible=1, absent=0. Parking d’un seul niveau = 3)</t>
  </si>
  <si>
    <t>Sind die einzelnen Parkebenen klar und deutlich gekennzeichnet?
(gut = 3, befriedigend = 2, schlecht = 1, gar nicht = 0., unzutreffend, da nur 1 Geschoss = 3)</t>
  </si>
  <si>
    <t>6.5</t>
  </si>
  <si>
    <t>6.6</t>
  </si>
  <si>
    <t>ESPA Gold Award</t>
  </si>
  <si>
    <t>Global Evaluation - Gold Award</t>
  </si>
  <si>
    <t>The ESPA Worksheet uses Marcros. Please close and reopen with Macros Enabled.</t>
  </si>
  <si>
    <t>In elevator; at floor level
•  Above 70 Lux = 4;
•  Between30– 70 Lux: 0,1 pt per Lux over 30
•  Below 30 Lux = 0;
•  Single level without elevator = 3 (enter zero if this is the case)</t>
  </si>
  <si>
    <t>70% der Stellplätze müssen mindestens 2,30 m breit sein. Für renovierte Parkhäuser, die älter als 10 Jahre sind, wird ausnahmsweise eine Stellplatzbreite von 2,25 m toleriert. In diesem Fall kommt ein Pauschalabzug zur Anwendung (siehe M8).</t>
  </si>
  <si>
    <t>Die durchschnittliche Beleuchtungsstärke am Boden beträgt mindestens 20 Lux.</t>
  </si>
  <si>
    <t>Die durchschnittliche Beleuchtungsstärke am Boden beträgt mindestens 50 Lux.</t>
  </si>
  <si>
    <t>Kassenautomat, in 1 m Höhe (in diesem Fall bitte Null eingeben)
•  über 200 Lux = 4;
•  zwischen 100 - 200 Lux: 0,04 pt pro Lux über 100
•  weniger als 100 Lux = 0;
•  Kein Kassenautomat: wie bei Ausfahrt</t>
  </si>
  <si>
    <t>An der Kasse, auf Höhe des Tresens
•  über 200 Lux = 4;
•  zwischen 100 - 200 Lux: 0,04 pt pro Lux über 100
•  weniger als 100 Lux = 0;
•  Keine Kasse = 3  (in diesem Fall bitte Null eingeben)</t>
  </si>
  <si>
    <t>In Aufzügen, auf dem Boden
•  über 70 Lux = 4;
•  zwischen 30 - 70 Lux: 0,1 pt pro Lux über 30
•  weiniger als 30 Lux = 0;
•  eingeschossiges Parkhaus ohne Aufzug = 3  (in diesem Fall bitte Null eingeben)</t>
  </si>
  <si>
    <t>Strafabzug für Mindestanforderung 1.4 kommt zur Anwendung.</t>
  </si>
  <si>
    <t>Option 4_8:</t>
  </si>
  <si>
    <t>Column2</t>
  </si>
  <si>
    <t>Opção</t>
  </si>
  <si>
    <t>4.7:</t>
  </si>
  <si>
    <t>Coluna</t>
  </si>
  <si>
    <t>Eén lift</t>
  </si>
  <si>
    <t>Handreling aan één kant</t>
  </si>
  <si>
    <t>Eénlaags parkeergarage</t>
  </si>
  <si>
    <t>Minstens één bij elke reguliere voetgangersingang</t>
  </si>
  <si>
    <t>Een</t>
  </si>
  <si>
    <t>Een betaalautomaat</t>
  </si>
  <si>
    <t>Dies wird alle Daten in dem ESPA Arbeitsblatt löschen. Sind Sie sicher?</t>
  </si>
  <si>
    <t>Sie haben ein unzulässiges Passwort eingegeben. Die ESPA Arbeitsblätter können nicht ungeschützt bleiben.</t>
  </si>
  <si>
    <t>Bitte geben Sie Ihr Passwort ein um das ESPA Arbeitsblatt zu öffnen.</t>
  </si>
  <si>
    <t>Eingabe Passwort</t>
  </si>
  <si>
    <t>Unzulässiges Passwort</t>
  </si>
  <si>
    <t>Hierdurch werden 14 Seiten auf Ihrem aktiven Drucker ausgedruckt. Sind Sie sicher?</t>
  </si>
  <si>
    <t>Alarm</t>
  </si>
  <si>
    <t>Das Ändern der Sprache wird alle Ihre bisherigen Eingaben zurücksetzen. Sind Sie sicher?</t>
  </si>
  <si>
    <t>Mindestbedingungen für den Gold Award</t>
  </si>
  <si>
    <t>Globale Bewertung - Gold Award</t>
  </si>
  <si>
    <t>Das ESPA Arbeitsblatt verwendet Macros. Bitte das Arbeitsblatt schließen, Macros zulassen und neu anschließend erneut öffnen.</t>
  </si>
  <si>
    <t>Offenes Parkhaus mit Tageslicht</t>
  </si>
  <si>
    <t>Geschlossenes Parkhaus ohne Tageslicht</t>
  </si>
  <si>
    <t>unterirdisch</t>
  </si>
  <si>
    <t>Ebenen mit gewendelten oder geraden Rampen</t>
  </si>
  <si>
    <t>Ebenen mit Gefälle (Parkrampe)</t>
  </si>
  <si>
    <t>andere</t>
  </si>
  <si>
    <t>Parkhaus mit Schranke / Tor</t>
  </si>
  <si>
    <t>Parkhaus mit Parkscheinautomaten</t>
  </si>
  <si>
    <t>Mandatory Conditions for Golden Award</t>
  </si>
  <si>
    <t>Portuguese</t>
  </si>
  <si>
    <t>Condiciones mínimas obligatorias</t>
  </si>
  <si>
    <t>El aparcamiento debe ser de uso público</t>
  </si>
  <si>
    <t>Gálibo mínimo = 1.90 m, por regla general en las zonas públicas. Cualquier obstáculo eventual deberá estar claramente señalizado.</t>
  </si>
  <si>
    <t>Gálibo mínimo = 2.00 m, por regla general en las zonas públicas. Cualquier obstáculo eventual deberá estar claramente señalizado.</t>
  </si>
  <si>
    <t>Deberá haber al menos un carril exclusivo de entrada y otro de salida, si bien se permitirán carriles reversibles adicionales</t>
  </si>
  <si>
    <t>El 70% de las plazas debe tener un ancho mínimo de 2.30m. Para aparcamientos renovados, de más de 10 años de antigüedad, se permite un ancho mínimo de 2.25m (en ese caso se aplica una penalización - ver M8)</t>
  </si>
  <si>
    <t>El 70% de las plazas debe tener un ancho mínimo de 2.40m</t>
  </si>
  <si>
    <t>Las rampas rectas para tráfico unidireccional deben tener un ancho mínimo de 2.7m. Las rampas de doble sentido tendrán un ancho mínimo de 6m, con marcas viales de separación. El ancho de la rampa se mide entre paredes o pilares.</t>
  </si>
  <si>
    <t>Las rampas curvas para tráfico unidreccional deben tener un radio exterior de al menos 8.00m con un ancho mínimo de carril de 3.5m. Para rampas curvas de doble sentido, lo anterior aplica al carril interior. El carril exterior debe tener también un ancho mínimo de 3.5m.</t>
  </si>
  <si>
    <t>Las pendientes de las rampas no pueden superar el 20%, medidas sobre el eje del carril. En las rampas curvas de doble sentido, lo anterior aplica al carril interior (el de mayor pendiente).</t>
  </si>
  <si>
    <t>Si el aparcamiento es de pago y dispone de control de acceso a través de barreras y puertas, deberá ser posible contactar con el personal en el punto de pago/punto de salida y en los accesos peatonales</t>
  </si>
  <si>
    <t>Se proporcionará recibo en caso de ser solicitado por el usuario</t>
  </si>
  <si>
    <t>Todos los giros se podrán realizar sin necesidad de dar marcha atrás (se excluyen las maniobras de estacionamiento y la circulación en calles sin salida)</t>
  </si>
  <si>
    <t>Los niveles lumínicos medios en la plaza de estacionamiento a nivel del suelo serán de cómo mínimo 20 Lux</t>
  </si>
  <si>
    <t>Los niveles lumínicos medios en la plaza de estacionamiento a nivel del suelo serán de cómo mínimo 50 Lux</t>
  </si>
  <si>
    <t>Iluminación</t>
  </si>
  <si>
    <t>Lista de elementos (valores en Lux, ver manual de usuario para criterios de medida)</t>
  </si>
  <si>
    <t>Zona de acceso de vehículos; a nivel del suelo
•  Más de 200 Lux = 5;
•  Entre 75– 200 Lux: 0,04 pts por Lux por encima de 75  
•  Menos de 75 Lux = 0</t>
  </si>
  <si>
    <t>Acceso; a 1 m de altura junto a la máquina expendedora de tickets
•  Más de 200 Lux = 3;
•  Entre 100– 200 Lux: 0,03 pts por Lux por encima de 100
•  Menos de 100 Lux = 0</t>
  </si>
  <si>
    <t>Salida; a 1 m de altura junto a la barrera/máquina de tickets
•  Más de 200 Lux = 3;
•  Entre 100– 200 Lux: 0,03 pts por Lux por encima de 100
•  Menos de 100 Lux = 0</t>
  </si>
  <si>
    <t>En la máquina de pago; a 1 m de altura
•  Más de 200 Lux = 4;
•  Entre 100– 200 Lux: 0,04 pts por Lux por encima de 100
•  Menos de 100 Lux = 0;
•  Si no hay máquinas de pago: igual que en salida (poner "cero" si es el caso)</t>
  </si>
  <si>
    <t>Pago manual; a la altura del mostrador
•  Más de 200 Lux = 4;
•  Entre 100 – 200 Lux: 0,04 pts por Lux por encima de 100
•  Menos de 100 Lux = 0;
•  Si no hay pago manual = 3 (poner "cero" si es el caso)</t>
  </si>
  <si>
    <t>En ascensor; a nivel del suelo
•  Más de 70 Lux = 4;
•  Entre 30 – 70 Lux: 0,1 pts por Lux por encima de 30
•  Menos de de 30 Lux = 0;
•  Planta única sin ascensor = 3 (poner "cero" si es el caso)</t>
  </si>
  <si>
    <t>En escaleras y otros accesos peatonales; a nivel del suelo
•  Más de 90 Lux = 3;
•  Entre 30 – 90 Lux: 0,05 pts por Lux por encima de 30
•  Menos de 30 Lux = 0;</t>
  </si>
  <si>
    <t>Niveles lumínicos en la zona de estacionamiento a nivel de suelo: (rellenar tabla más abajo) 
Nivel lumínico medio de la tabla:
•  Más de 100 Lux = 10;
•  Entre 20 – 100 Lux: 0,125 pts por Lux por encima de 20 
•  Menos de 20 Lux = 0</t>
  </si>
  <si>
    <t>Uniformidad de los niveles lumínicos de la tabla, desviación estándar
•  Menos de 25% del nivel lumínico medio = 10;
•  Entre 25– 50%: 0,4 pts por % por debajo de 50%
•  Más de 50% =  0</t>
  </si>
  <si>
    <t>Tabla auxiliar para 2.8</t>
  </si>
  <si>
    <t>Fondo de plaza bajo/entre luminarias</t>
  </si>
  <si>
    <t>Centro de plaza bajo/entre luminarias</t>
  </si>
  <si>
    <t>Límite entre inicio de plaza y vial de circulación bajo/entre luminarias</t>
  </si>
  <si>
    <t>Centro de vial de circulación bajo/entre luminarias</t>
  </si>
  <si>
    <t>Vial de circulación en el lado opuesto a la zona estacionamiento bajo/entre luminarias</t>
  </si>
  <si>
    <t>Acceso y salida de vehículos</t>
  </si>
  <si>
    <t>Gálibo máximo indicado a la entrada</t>
  </si>
  <si>
    <t>Señal correcta a la entrada</t>
  </si>
  <si>
    <t>Delimitador de altura</t>
  </si>
  <si>
    <t>Borde de goma para prevenir daños</t>
  </si>
  <si>
    <t>Altura:
(Se asigna al aparcamiento 1 punto por cada 10cm de altura por encima de 1.90m hasta 2.20m)</t>
  </si>
  <si>
    <t>Señales de tráfico para definir limitaciones en el uso de la instalación.
• Señalización clara = 3
• Señalización incompleta = 2
• Sin señalización = 0</t>
  </si>
  <si>
    <t>Información sobre:</t>
  </si>
  <si>
    <t>Términos y condiciones en el interior del aparcamiento</t>
  </si>
  <si>
    <t>Horario de apertura:</t>
  </si>
  <si>
    <t>Tarifas:</t>
  </si>
  <si>
    <t>Facilidad de lectura del sistema de tarifas</t>
  </si>
  <si>
    <t>Diseño de la zona de acceso/salida</t>
  </si>
  <si>
    <t>Facilidad de acceso a la máquina de tickets de entrada</t>
  </si>
  <si>
    <t>Facilidad de acceso a la máquina de tickets de salida</t>
  </si>
  <si>
    <t>Pendiente longitudinal en zona de máquinas de tickets</t>
  </si>
  <si>
    <t>Carril de entrada:
• 0-2% (vehículo no se muede sin presionar el freno) = 1
• 2-5% = 0
• Más de 5% = -1</t>
  </si>
  <si>
    <t>Carril de salida:
• 0-2% (vehículo no se muede sin presionar el freno) = 1
• 2-5% = 0
• Más de 5% = -1</t>
  </si>
  <si>
    <t>Diseño de bordillos para evitar daños en las ruedas de un vehículo estándar:
(Sí = 2, Sin protección = 0, Sin bordillos en zonas de entrada/salida = 2)</t>
  </si>
  <si>
    <t>Superficies antideslizantes en zonas de entrada y salida de rampas:
(Antideslizante = 1, Deslizante con piso húmedo = 0)</t>
  </si>
  <si>
    <t>Seguridad en accesos</t>
  </si>
  <si>
    <t>Barreras</t>
  </si>
  <si>
    <t>Interfonía</t>
  </si>
  <si>
    <t>Lector de matrículas</t>
  </si>
  <si>
    <t>Portones de cierre rápido</t>
  </si>
  <si>
    <t>Acceso para personal (entrada o salida)</t>
  </si>
  <si>
    <t>Entrada/salida del edificio: ancho entre elemetnos estructurales (por carril)
(&lt; 3 m = 0, 3 – 3.3 m =1, &gt; 3.3 m = 2)</t>
  </si>
  <si>
    <t>Salida: la pendiente de la rampa de salida finaliza al menos 5 metros de la incorporación al tráfico (peatones/ciclistas):</t>
  </si>
  <si>
    <t>subtotal acceso y salida de vehículos</t>
  </si>
  <si>
    <t>Zonas de estacionamiento</t>
  </si>
  <si>
    <t>Posición de pilares para al menos el 85% de las plazas:
• No invade la zona de estacionamiento = 8 
• al principio de la plaza = 0
• junto a la puerta del vehículo = 0
• en el fondo de plaza pero invade la zona de estacionamiento = 4</t>
  </si>
  <si>
    <t>Visibilidad (muchos/pocos ángulos muertos, paredes en el aparcamiento, etc.)
Buena = 4, Media = 2 o Mala = 0</t>
  </si>
  <si>
    <t>Señalización para el conductor:</t>
  </si>
  <si>
    <t>Las señales concuerdan con el código de carreteras del país?</t>
  </si>
  <si>
    <t>La señalización direccional: es clara, completa e inequívoca?</t>
  </si>
  <si>
    <t>Completa?</t>
  </si>
  <si>
    <t>Fácil de ver?</t>
  </si>
  <si>
    <t>Inequívoca?</t>
  </si>
  <si>
    <t>La señalización indicando la salida del aparcamiento: es clara, completa e inequívoca?</t>
  </si>
  <si>
    <t>Marcaje vial de plazas?</t>
  </si>
  <si>
    <t>Las plazas están claramente marcadas?</t>
  </si>
  <si>
    <t>El marcaje se extiende sobre los paramentos verticales para facilitar la maniobra al conductor?</t>
  </si>
  <si>
    <t>La señalización horizontal del aparcamiento es:</t>
  </si>
  <si>
    <t>Disponibilidad de plazas reservadas para personas de movilidad reducida anunciada a la entrada del aparcamiento:</t>
  </si>
  <si>
    <t>Accesibilidad para silla de ruedas?</t>
  </si>
  <si>
    <t>Anchura mínima de plazas de 3.5m?</t>
  </si>
  <si>
    <t>Cerca de las salidas peatonales?</t>
  </si>
  <si>
    <t>Guiado hacia las plazas reservadas?</t>
  </si>
  <si>
    <r>
      <t>Ángulo de aparcamiento para al menos el 85% de las plazas:
(Ángulo 76-90°</t>
    </r>
    <r>
      <rPr>
        <sz val="6"/>
        <color rgb="FF000000"/>
        <rFont val="Arial"/>
        <family val="2"/>
      </rPr>
      <t xml:space="preserve"> </t>
    </r>
    <r>
      <rPr>
        <sz val="10"/>
        <color rgb="FF000000"/>
        <rFont val="Arial"/>
        <family val="2"/>
      </rPr>
      <t>= 0, Ángulo  45-75°</t>
    </r>
    <r>
      <rPr>
        <sz val="6"/>
        <color rgb="FF000000"/>
        <rFont val="Arial"/>
        <family val="2"/>
      </rPr>
      <t xml:space="preserve"> </t>
    </r>
    <r>
      <rPr>
        <sz val="10"/>
        <color rgb="FF000000"/>
        <rFont val="Arial"/>
        <family val="2"/>
      </rPr>
      <t>= 2)</t>
    </r>
  </si>
  <si>
    <r>
      <t xml:space="preserve">Ancho de plazas (85 % de las plazas), A o B: 
A: Ángulo 76 – 90 grados
(2.25m = -5, 2.30m = 0, 2.35m = 2, 2.40m = 4, 2.45m = 6, 2.50m = 8) 
B: Ángulo 45-75 grados
(2.25m = -5, 2.30m = 1, 2.35m = 3, 2.40m = 5, 2.45m = 8)
</t>
    </r>
    <r>
      <rPr>
        <b/>
        <sz val="10"/>
        <color rgb="FF000000"/>
        <rFont val="Arial"/>
        <family val="2"/>
      </rPr>
      <t>El ancho de 2.25m únicamente es aplicable a aparcamientos renovados, los aparcamientos nuevos deben tener un ancho mínimo de 2.30m</t>
    </r>
  </si>
  <si>
    <t>Anchura total de un aparcamiento de sentido único con estacionamiento a ambos lados, en función del ángulo y el ancho de plaza
Ancho plaza: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Anchura total igual o superior al valor de arriba obtiene 3 puntos. 
Hasta 30 cm menos obtiene 2 puntos
Hasta 60 cm menos obtiene 1 punto
Más de 60 cm menos: 0 puntos</t>
  </si>
  <si>
    <t>Diseño de bordillos para evitar daños en las ruedas de un vehículo estándar
•  Sí = 2, Sin protección = 1</t>
  </si>
  <si>
    <t>Rampas para vehículos</t>
  </si>
  <si>
    <t>Se trata de un aparcamiento de una única planta sin rampas para vehículos o un aparcamiento en superficie?</t>
  </si>
  <si>
    <t>Superficie de las rampas entre plantas del aparcamiento (Antideslizante 1, Lisa 0, sin rampas 1)</t>
  </si>
  <si>
    <t>Pendiente longitudinal en rampas (no usadas para aparcamiento)
•  &lt;10%=3, 10-15%=1, &gt;15%=0, sin rampas=4</t>
  </si>
  <si>
    <t>Anchura de rampas (entre bordillos), medida en el punto más estrecho</t>
  </si>
  <si>
    <t>Las rampas curvas deben ser 1 m más anchas para obtener la misma puntuación. Las rampas son curvas?</t>
  </si>
  <si>
    <t>Curvatura de la rampa (radio exterior)
•  hasta 9m=0, 9–10 m=1, &gt;10m=2, sin rampas=2
En rampas de doble dirección, la medida hace referencia al carril interior.</t>
  </si>
  <si>
    <t>Curva de aproximación a rampas rectas
•  &lt;7.5m=0, 7.5–9m=1, &gt;9m=2, sin rampas=3</t>
  </si>
  <si>
    <t>Pendiente longiitudinal de planta de aparcamiento en pendiente
•  &lt;5%=3, 5%-7% =1, &gt;7%=0, sin pendiente=4</t>
  </si>
  <si>
    <t>Accesos peatonales</t>
  </si>
  <si>
    <t>Lista de elementos</t>
  </si>
  <si>
    <t>Altura libre para peatones - excluyendo las puertas
• &lt;2.00m = 0
• 2.00m – 2.10m = 1
• 2.10m – 2.20m = 2
• &gt; 2.20m = 4</t>
  </si>
  <si>
    <t>Ruta peatonal separada (por ejemplo, sobreelevada; marcas horizontales o colores) (sí = 2, no = 0)</t>
  </si>
  <si>
    <r>
      <t xml:space="preserve">Las puertas peatonales son de fácil uso?
(Sí, automáticas o </t>
    </r>
    <r>
      <rPr>
        <sz val="11"/>
        <color rgb="FFFF0000"/>
        <rFont val="Calibri"/>
        <family val="2"/>
      </rPr>
      <t>paso abierto</t>
    </r>
    <r>
      <rPr>
        <sz val="11"/>
        <color rgb="FF000000"/>
        <rFont val="Calibri"/>
        <family val="2"/>
        <charset val="204"/>
      </rPr>
      <t xml:space="preserve"> = 4, Apertura fácil = 2, No = 0)</t>
    </r>
  </si>
  <si>
    <t>Acceso peatonal controlado vía ticket/tarjeta en horario de apertura del aparcamiento (Sí=1, No=0)</t>
  </si>
  <si>
    <t>Plano de la ciudad City plan a central location in car park:
(En todas las salidas peatonales = 2, Sólo en un lugar = 1, No = 0)</t>
  </si>
  <si>
    <t>Guiado:</t>
  </si>
  <si>
    <t>hacia lugares turísticos alrededor del aparcamiento en las salidas peatonales (Sí=1, No=0):</t>
  </si>
  <si>
    <t>alrededor del aparcamiento hacia los accesos peatonales (Sí=1, No=0):</t>
  </si>
  <si>
    <t>Se trata de un aparcamiento de una única planta a nivel de calle (no en superficie)?</t>
  </si>
  <si>
    <t>Hay ascensores que conecten el nivel de calle?</t>
  </si>
  <si>
    <t>Número de ascensores a nivel de calle:
(1 ascensor = 1, 2 o más ascensores = 5)</t>
  </si>
  <si>
    <t>Tamaño de ascensores:
(Más de 8 personas = 3, 4-8 personas = 1, menos de 4 = 0)</t>
  </si>
  <si>
    <t>Visibilidad desde el interior del ascensor hacia el vestíbulo/zona de aparcamiento
(no hay visibilidad desde el ascensor = 0, puertas y muros acristalados = 3, no hay ascensor = 0)</t>
  </si>
  <si>
    <t>Indicación de la planta:</t>
  </si>
  <si>
    <t>en el interior del ascensor:</t>
  </si>
  <si>
    <t>en el rellano del ascensor:</t>
  </si>
  <si>
    <t>Los botones del ascensor están a una altura para silla de ruedas
•  Sí = 1, Otros = 1</t>
  </si>
  <si>
    <t>Puertas directamente hacia zona de aparcamiento</t>
  </si>
  <si>
    <t>Ancho (&lt;90 cm =0, &gt;=90 cm = 2)</t>
  </si>
  <si>
    <t>Puertas de emergencia, abierta por defecto (Sí=2, No= 0)</t>
  </si>
  <si>
    <t>Visibilidad (Puerta/muro acristalado = 3, Sin cristal = 0)</t>
  </si>
  <si>
    <t>Son los ascensores la principal conexión vertical? (escaleras únicamente para evacuación en caso de emergencia o secundarias)</t>
  </si>
  <si>
    <t>Núcleos de escaleras (visibilidad y orientación)</t>
  </si>
  <si>
    <t>Vista despejada (Sí = 1, No = 0, No aplica = 1)</t>
  </si>
  <si>
    <t>Indicación de planta (Sí = 1, No = 0, No aplica = 1)</t>
  </si>
  <si>
    <t>Escaleras (incluye visibilidad reforzada de escalones)</t>
  </si>
  <si>
    <t>Ancho (&lt; 1.5 m = 0, &gt; 1.5m = 2)</t>
  </si>
  <si>
    <t>Barandillas (Sin barandillas =0, Un lado = 1, Ambos lados=2)</t>
  </si>
  <si>
    <t>Visibilidad reforzada de escalones para personas con deficiencias visuales (Sí = 2, No = 0)</t>
  </si>
  <si>
    <t>Superficie antideslizante en escaleras: (Sí = 2, No = 0)</t>
  </si>
  <si>
    <t>Aperturas exteriores en el núcleo de escaleras
(ventana/rejilla al exterior o aparcamiento =2, ninguna =0)</t>
  </si>
  <si>
    <t>Herramientas de seguridad</t>
  </si>
  <si>
    <t>CCTV con aviso a la entrada = 3, No hay CCTV =0</t>
  </si>
  <si>
    <t>Personal de vigilancia (presencial o remoto)
•  Sí = 5, No = 1</t>
  </si>
  <si>
    <t>CCTV en:</t>
  </si>
  <si>
    <t>Entrada de vehículos: Sí =1, No =0</t>
  </si>
  <si>
    <t>Salida de vehículos: Sí =1, No =0</t>
  </si>
  <si>
    <t>Máquina de pago: Sí =1, No =0</t>
  </si>
  <si>
    <t>Vestíbulo de ascensor, en cada planta: Sí =1, No =0</t>
  </si>
  <si>
    <t>Núcleo de escaleras, en cada planta: Sí =1, No =0</t>
  </si>
  <si>
    <t>Accesos peatonales: Sí =1, No =0</t>
  </si>
  <si>
    <t>Mayor parte de la zona de aparcamiento (65%):Sí =3, No =0</t>
  </si>
  <si>
    <t xml:space="preserve"> Rampas: Sí = 1, No = 0</t>
  </si>
  <si>
    <t>Personal localizable a través de:</t>
  </si>
  <si>
    <t>Interfonía en la máquina de pago y/o accesos controlados (24/7=3, Todas las horas de apertura si no 24/7= 2, Tiempo parcial/no disponible = 0)</t>
  </si>
  <si>
    <t>Sistema de aviso de emergencia en zona de aparcamiento (24/7=3, Todas las horas de apertura si no 24/7= 2, Tiempo parcial/no disponible = 0)</t>
  </si>
  <si>
    <t>Personal identificado presente y vigilando el aparcamiento
(24/7 = 3, Durante horario de apertura = 2, Tiempo parcial = 1, No = 0)</t>
  </si>
  <si>
    <r>
      <t>Cierre de entrada/salida de vehículos:</t>
    </r>
    <r>
      <rPr>
        <sz val="11"/>
        <color rgb="FF000000"/>
        <rFont val="Calibri"/>
        <family val="2"/>
        <charset val="204"/>
      </rPr>
      <t xml:space="preserve"> 
(Portón cerrado fuera de horario de apertura = 2, Mecanismo de seguridad de cierre rápido durante horario apertura = 4, Mecanismo de seguridad de cierre lento durante horario apertura = 2, Sin mecanismo = 0)</t>
    </r>
  </si>
  <si>
    <t>Cierre de entradas y salidas peatonales (fuera de horario de apertura).
(Puerta/portón cuya apertura máxima es &lt;= 15cm = 2, más de 15 cm = 0, ningún tipo de cierre = 0, No aplica (horario de apertura 24h) = 2)</t>
  </si>
  <si>
    <t>Rejillas en aperturas exteriores y rejillas de seguridad
(&lt;= 15 cm = 2, &gt; 15 cm o sin protección= 0, No aplica (no hay aperturas exteriores) = 2)</t>
  </si>
  <si>
    <t>Orientación en interior y exterior del aparcamiento</t>
  </si>
  <si>
    <t>Identificación de plazas libres</t>
  </si>
  <si>
    <t>Por planta (sí/buena = 2, no/mala = 0)</t>
  </si>
  <si>
    <t>Por fila (sí/buena = 1, no/mala = 0)</t>
  </si>
  <si>
    <t>Por plaza individual (sí/buena = 2, no/mala = 0)</t>
  </si>
  <si>
    <t>Orientación (vehículos)</t>
  </si>
  <si>
    <t>Las plantas están claramente identificadas para los conductores? (Bien =3, Correcto =2, Mal =1, No =0)</t>
  </si>
  <si>
    <t>Los sectores de cada planta están claramente identificados para los conductores? (Bien =3, Correcto =2, Mal =1, No =0)</t>
  </si>
  <si>
    <t>Las salidas de emergencia en caso de incendio están debidamente señalizadas
• Claramente desde cualquier ubicación = 3
• La mayor parte de ubicaciones = 2
• Algunas ubicaciones =1
• No están señalizadas = 0)</t>
  </si>
  <si>
    <t>Las plantas están claramente señalizadas?
(bien =3, correcto=2, mal=1, ninguna señalización =0. Aparcamiento de una única planta = 3)</t>
  </si>
  <si>
    <t>Existe señalización adicional para orientar al peatón
(buena =2, alguna =1, ninguna = 0)</t>
  </si>
  <si>
    <t>Als plazas están numeradas individualmente
(Numeración incluye identificación de planta =2, Sólo números =1, ninguna =0)</t>
  </si>
  <si>
    <t>Uso de colores para orientación
(Sí= 1, No= 0)</t>
  </si>
  <si>
    <t>Señalización de orientación hacia al aparcamiento en las proximidades del mismo</t>
  </si>
  <si>
    <t>Únicamente señalización estática (Sí = 1, No = 0)</t>
  </si>
  <si>
    <t>Señalización dinámica adicional (Sí = 1, No = 0)</t>
  </si>
  <si>
    <t>Señalización luminosa a la entrada del aparcamiento</t>
  </si>
  <si>
    <t>Señalización direccional flecha verde, cruz roja (Sí = 1, No = 0)</t>
  </si>
  <si>
    <t>Señal libre/completo (Sí = 1, No = 0)</t>
  </si>
  <si>
    <t>Señalización de accesos peatonales (Sí = 1, No = 0)</t>
  </si>
  <si>
    <t>Comfort y varios</t>
  </si>
  <si>
    <t>Panel en los accesos peatonales indicando:</t>
  </si>
  <si>
    <t>Horas de apertura normales/específicas (sí = 1, no = 0)</t>
  </si>
  <si>
    <t>Cuadro de tariifas legible y fácil de entender (sí = 1, no = 0)</t>
  </si>
  <si>
    <t>Términos y condiciones (sí = 1, no = 0)</t>
  </si>
  <si>
    <t>Opciones de pago (pago a la salida/pago manual):</t>
  </si>
  <si>
    <t>Se aceptan monedas? (sí =1, no =0)</t>
  </si>
  <si>
    <t>Da cambio? (sí =1, no =0)</t>
  </si>
  <si>
    <t>Se aceptan billetes?  (sí =1, no =0)</t>
  </si>
  <si>
    <t>Se aceptan tarjetas de crédito?  (sí =1, no =0)</t>
  </si>
  <si>
    <t>Pago a través de smart phone? (sí =1, no =0)</t>
  </si>
  <si>
    <t>Pago a través de tarjeta/teléfono a la salida? (sí =1, no =0)</t>
  </si>
  <si>
    <t>Identificación y pago a través de la matrícula? (sí =1, no =0)</t>
  </si>
  <si>
    <t>Se aceptan otras tarjetas: cuántas? (1 punto adicional por cada una hasta 3)</t>
  </si>
  <si>
    <t>Pago en el centro de control: (sí = 1, no = 0)</t>
  </si>
  <si>
    <t>Se trata de un aparcamiento sin barreras (pago en parquímetros)?</t>
  </si>
  <si>
    <t>Número de puntos de pago en aparcamientos controlados mediante barreras:
(Un punto de pago = 0,  Más de uno =1, Uno en cada acceso peatonal, excluyendo salidas de emergencia =2, Más de uno en cada acceso peatonal =3)</t>
  </si>
  <si>
    <t>Número de parquímetros en aparcamientos sin barreras
(Uno =0, &lt; 1 cada 50 plazas =2, &gt;1 cada 50 plazas =3)</t>
  </si>
  <si>
    <t>Aseos públicos:</t>
  </si>
  <si>
    <t>Existen? (sí= 2, no= 0)</t>
  </si>
  <si>
    <t>Aseo para minusválidos? (sí=1, no= 0)</t>
  </si>
  <si>
    <t>unisex = 0, separación hombres/mujeres = 1</t>
  </si>
  <si>
    <t>presencia de un empleado: Sí=1, no= 0</t>
  </si>
  <si>
    <t>Uso de colores/ornamentos</t>
  </si>
  <si>
    <t>Pilares pintados =1, no/hormigón gris = 0</t>
  </si>
  <si>
    <t>Muros pintados =1, no/hormigón gris = 0</t>
  </si>
  <si>
    <t>Ornamentos adicionales</t>
  </si>
  <si>
    <t>Obras de arte: (Sí = 2, No = 0)</t>
  </si>
  <si>
    <t>Botánica: (Sí = 1, No = 0)</t>
  </si>
  <si>
    <t>Otros: (Sí = 1, No = 0)</t>
  </si>
  <si>
    <t>Cobertura para telefonía móvil (Sí = 2, No = 0)</t>
  </si>
  <si>
    <t>Cobertura señal de radio (Sí = 1, No = 0)</t>
  </si>
  <si>
    <t>Música</t>
  </si>
  <si>
    <t>Música de fondo: Sí = 2, No = 0</t>
  </si>
  <si>
    <t>Diferenciación para orientación en el interior:  Sí =1, No = 0</t>
  </si>
  <si>
    <t>Energía y medioambiente</t>
  </si>
  <si>
    <t>Sistemas de eficiencia energética en iluminación</t>
  </si>
  <si>
    <t>Compensación del factor de potencia (Sí=1, No=0)</t>
  </si>
  <si>
    <t>Otros sistemas (Sí=1, No=0)</t>
  </si>
  <si>
    <t>Iluminación variable mediante sensores de movimiento (sí= 2, no= 0)</t>
  </si>
  <si>
    <t>Iluminación variable a la entrada del aparcamaniento en función de la luz natural exterior
(sí= 2, no= 0)</t>
  </si>
  <si>
    <t>Iluminación variable en las plantas del aparcamiento en función de la luz natural exterior
(sí= 2, no= 0, No aplica (subterráneo) =2)</t>
  </si>
  <si>
    <t>Paneles solares en cubierta u otras iniciativas en materia de energías renovables (sí= 2, no= 0)</t>
  </si>
  <si>
    <t>Tratamiento de aguas fecales:
•  sí= 2, no= 0</t>
  </si>
  <si>
    <t xml:space="preserve">Tratamiento de aguas de limpieza y reutilización de aguas pluviales
•  sí= 2, no= 0
</t>
  </si>
  <si>
    <t>Puntos de recarga para vehículo eléctrico: (Sí, más de uno= 2, Un punto de recarga=1, Ninguno=0)</t>
  </si>
  <si>
    <t>Vehículo compartido e iniciativas similares
•  sí= 2, no= 0</t>
  </si>
  <si>
    <t>Otras iniciativas medioambientales o de "emición cero"
•  sí= 2, no= 0</t>
  </si>
  <si>
    <t>Puntos negativos</t>
  </si>
  <si>
    <t>Presencia graffiti y pintadas</t>
  </si>
  <si>
    <t>Escaleras (Sí= -2, No= 0)</t>
  </si>
  <si>
    <t>Ascensores (Sí= -2, No= 0)</t>
  </si>
  <si>
    <t>Aseos (Sí= -2, No= 0)</t>
  </si>
  <si>
    <t>Zonas de aparcamiento (Sí= -2, No= 0)</t>
  </si>
  <si>
    <t>Muros exteriores (Sí= -2, No= 0)</t>
  </si>
  <si>
    <t>Presencia de suciedad</t>
  </si>
  <si>
    <t>En el exterior de los accesos peatonales y de vehículos (Sí= -2, No= 0)</t>
  </si>
  <si>
    <t>Baja calidad de la pintura</t>
  </si>
  <si>
    <t>Baja calidad de marcas horizontales (Sí= -2, No= 0)</t>
  </si>
  <si>
    <t xml:space="preserve">Baja calidad/falta de mantenimiento (baches ,daños) </t>
  </si>
  <si>
    <t>Pavimentos (Sí= -2, No= 0)</t>
  </si>
  <si>
    <t>Muros (Sí= -2, No= 0)</t>
  </si>
  <si>
    <t>Evidencia de agua estancada (Sí= -2, No= 0)</t>
  </si>
  <si>
    <t>Evidencia de malos olores</t>
  </si>
  <si>
    <t>Plazas de aparcamiento (Sí= -2, No= 0)</t>
  </si>
  <si>
    <t>Más del 15% de las plazas en viales sin salida, sin indicación sobre su ocupación (Sí= -5, No=0)</t>
  </si>
  <si>
    <t>Puntos diversos de crítica (a desarrollar!)
[Por ejemplo, eco, chirrido de neumáticos, visitantes inesperados, etc.] hasta -10</t>
  </si>
  <si>
    <t>Penalización por Condición Obligatoria 1.4</t>
  </si>
  <si>
    <t>Puntos Bonus</t>
  </si>
  <si>
    <t>Elementos adicionales en el aparcamiento</t>
  </si>
  <si>
    <t>Aparcamiento para motocicletas (Sí= 1, No= 0)</t>
  </si>
  <si>
    <t>Taquillas para uso de los clientes (Sí= 1, No= 0)</t>
  </si>
  <si>
    <t>Otras ayudas (Sí= 1, No= 0)</t>
  </si>
  <si>
    <t>Alquiler de bicicletas (Sí= 1, No= 0)</t>
  </si>
  <si>
    <t>Otro tipo de asistencia al conductor (Sí= 1, No= 0)</t>
  </si>
  <si>
    <t>Máquinas de vending (Sí= 1, No= 0)</t>
  </si>
  <si>
    <t>Desfibrilador (Sí= 1, No= 0)</t>
  </si>
  <si>
    <t>Personal preparado para prestar primeros auxilios (Sí= 1, No= 0)</t>
  </si>
  <si>
    <t>Datos de tráfico en tiempo real (Sí= 1, No= 0)</t>
  </si>
  <si>
    <t>Otro tipo de información en tiempo real (por ejemplo ferias locales) (Sí= 1, No= 0)</t>
  </si>
  <si>
    <t>Medidas para evitar colas en horas punta (por ejemplo, carriles reversibles en acceso/salida) - (Sí= 3, No= 0)</t>
  </si>
  <si>
    <t>Posibilidad de escapatoria antes de la barrera o bien indicación de "completo" sin necesidad de dar marcha atrás (Sí= 3, No= 0)</t>
  </si>
  <si>
    <t>Mostrador de atención al cliente (Sí= 1, No= 0)</t>
  </si>
  <si>
    <t>Escaleras mecánicas o cintas
(Desde/hasta todas las plantas =5, Desde/hasta algunas plantas =3, Sin escaleras mecánicas ni cintas = 0)</t>
  </si>
  <si>
    <t>Localización de vehículos aparcados mediante el ticket o matrícula
(Sí= 1, No= 0)</t>
  </si>
  <si>
    <t>Otros aspectos positivos, por ejemplo servicios adicionales, personal amable, muros/pavimentos alicatados, buen encaje urbanístico del aparcamiento en la ciudad, etc. hasta 10 puntos bonus adicionales. Deben ser identificados de manera explícita.</t>
  </si>
  <si>
    <t>Tarde</t>
  </si>
  <si>
    <t>Notas</t>
  </si>
  <si>
    <t>Estado</t>
  </si>
  <si>
    <t>Mínimo</t>
  </si>
  <si>
    <t>Incompleto</t>
  </si>
  <si>
    <t>Completo</t>
  </si>
  <si>
    <t>Operador</t>
  </si>
  <si>
    <t>País</t>
  </si>
  <si>
    <t>Condições Mínimas Necessárias</t>
  </si>
  <si>
    <t>Parque de estacionamento para uso público</t>
  </si>
  <si>
    <t>Pé-direito mínimo = 1,90 m, geralmente nas áreas públicas. Eventuais obstáculos a menor altura devem estar claramente identificados.</t>
  </si>
  <si>
    <t>Pé-direito mínimo = 2,00 m, geralmente nas áreas públicas. Eventuais obstáculos a menor altura devem estar claramente identificados.</t>
  </si>
  <si>
    <t>Deve existir pelo menos um acesso exclusivo para entradas e um acesso exclusivo para saídas, apesar de poderem existir vias de fluxo bidirecional adicionais.</t>
  </si>
  <si>
    <t>70% dos lugares de estacionamento devem ter no mínimo 2.30m de largura. Para parques de estacionamento renovados, com mais de dez anos de idade, a largura mínima do lugar permitida é de 2.25m (neste caso aplica-se uma penalidade - ver M8).</t>
  </si>
  <si>
    <t>70% dos lugares de estacionamento devem ter no mínimo de 2.40m de largura.</t>
  </si>
  <si>
    <t>Todas as rampas retas com tráfego unidirecional devem ter no mínimo 2.7 metros de largura. Rampas bidirecionais devem ter no mínimo 6m de largura, com marcações das faixas. A largura da rampa é medida entre paredes ou pilares</t>
  </si>
  <si>
    <t>Rampas curvas para tráfego direcional único devem ter um raio externo mínimo de 8.00 m, com largura de faixa mínima de 3.50 m. (Para rampas curvas bidirecionais, aplica-se para a faixa de rodagem interior. A faixa de rodagem exterior também deve ter largura mínima de 3.50 m)</t>
  </si>
  <si>
    <t>A inclinação das rampas não deve exceder 20%, medido no centro da faixa de rodagem. Em rampas curvas bidirecionais, aplica-se para a rampa interior (mais inclinada).</t>
  </si>
  <si>
    <t>Se o parque de estacionamento tem estacionamento pago e controlo de acessos por barreiras ou portões, funcionários devem estar contactáveis a partir dos locais de pagamento, das saídas e de entradas pedonais com porta fechada.</t>
  </si>
  <si>
    <t>Recibo de pagamento deve ser fornecido quando solicitado.</t>
  </si>
  <si>
    <t>Todos os movimentos de viragem devem poder ser concluídos necessidsde de inversão de marcha (manobras de estacionamento e becos sem saída estão excluídos).</t>
  </si>
  <si>
    <t>Níveis de luz médios na área de estacionamento, medidos ao nível do piso, são no mínimo de 20 Lux</t>
  </si>
  <si>
    <t>Níveis de luz médios na área de estacionamento, medidos ao nível do piso, são no mínimo de 50 Lux</t>
  </si>
  <si>
    <t>Iluminação</t>
  </si>
  <si>
    <t>Lista de Itens (valores em Lux, consulte o manual do utilizador para a medição)</t>
  </si>
  <si>
    <t>Zona de entrada de veículos, ao nível do chão
•  Acima de 200 Lux = 5;
•  Entre 75 e 200 Lux: 0,04 pt por cada Lux acima de 75;
•  Abaixo de 75 Lux = 0;</t>
  </si>
  <si>
    <t>Zona de entrada de veículos, a 1 m de altura, perto da máquina de bilhetes
•  Acima de 200 Lux = 3;
•  Entre 100 e 200 Lux: 0,03 pt por cada Lux acima de 100;
•  Abaixo de 100 Lux = 0</t>
  </si>
  <si>
    <t>Zona de saída de veículos, a 1 m de altura perto da máquina de leitura de bilhetes:
•  Acima de 200 Lux = 3;
•  Entre 100 e 200 Lux: 0,03 pt por cada Lux acima de 100;
•  Abaixo de 100 Lux= 0;</t>
  </si>
  <si>
    <t>Junto às Máquinas de Pagamento, a 1 m de altura:
•  Acima de 200 Lux = 4;
•  Entre 100 e 200 Lux: 0,04 pt por cada Lux acima de 100;
•  Abaixo de 100 Lux= 0;
• Se não houver máquinas de pagamento, pontuação semelhamte à da saída. (introduza zero se for este o caso)</t>
  </si>
  <si>
    <t>Junto à Caixa Manual, à altura do balcão
•  Acima de 200 Lux = 4;
•  Entre 100 e 200 Lux: 0,04 pt por cada Lux acima de 100
•  Abaixo de 100 Lux = 0;
•  Se não houver caixa manual = 3 (introduza zero se for este o caso);</t>
  </si>
  <si>
    <t>No elevador, ao nível do chão:
•  Acima de 70 Lux = 4;
•  Entre 30 e 70 Lux: 0,1 pt por cada Lux acima de 30;
•  Abaixo de 30 Lux = 0;
•  Parque sem elevador = 3 (introduza zero se for este o caso)</t>
  </si>
  <si>
    <t>Escadarias e todas os outros acessos pedonais exclusivos, ao nível do chão:
•  Acima de 90 Lux = 3;
•  Entre 30 e 90 Lux: 0,05 pt por cada Lux acima de 30;
•  Abaixo de 30 Lux = 0;</t>
  </si>
  <si>
    <t>Níveis de luminosidade na área de estacionamento ao nível do piso: (por favor preencha grelha abaixo)
Nível de luz média da grelha:
•  Acima 100 Lux = 10;
•  Entre 20 e 100 Lux: 0,125 pt por cada Lux acima de 20;
•  Abaixo de 20 Lux = 0;</t>
  </si>
  <si>
    <t>Uniformidade da luminosidade na grelha, (desvio padrão)
• Inferior a 25% dos níveis médios de luminosidade = 10;
•  Entre 25% e 50% dos níveis médios de luminosidsde: 0,4 pt por cada ponto percentual abaixo de 50%;
•  Abaixo de 50% =  0</t>
  </si>
  <si>
    <t>Grelha Auxiliar para 2.8</t>
  </si>
  <si>
    <t>fim do espaço de estacionamento em/entre pontos de iluminação</t>
  </si>
  <si>
    <t>espaço de estacionamento no meio do caminho em/entre pontos de iluminação</t>
  </si>
  <si>
    <t>linha entre lugar de estacionamento e via de circulação, sob/entre pontos de iluminação</t>
  </si>
  <si>
    <t>centro de via de circulação sob/entre pontos de iluminação</t>
  </si>
  <si>
    <t>outra extremidade da calçada sob/entre pontos de iluminação</t>
  </si>
  <si>
    <t>Limite de altura do parque de estacionamento identificado na entrada</t>
  </si>
  <si>
    <t>Sinal correto na entrada</t>
  </si>
  <si>
    <t>Barreira de altura</t>
  </si>
  <si>
    <t>Lip de borracha para evitar danos</t>
  </si>
  <si>
    <t>Altura:
(Parque de estacionamento deve receber um ponto por cada 10 cm de altura acima de 1.90m, até um máximo de 2.20m)</t>
  </si>
  <si>
    <t>Sinais de trânsito para definir o uso limitado das instalações.
• Sinalização evidente = 3
• Sinalização incompleta = 2
• Sem sinalização = 0</t>
  </si>
  <si>
    <t>Informações sobre:</t>
  </si>
  <si>
    <t>Regras de utilização do parque de estacionamento:</t>
  </si>
  <si>
    <t>Horário de funcionamento:</t>
  </si>
  <si>
    <t>Tarifário:</t>
  </si>
  <si>
    <t>Legibilidade do sistema tarifário:</t>
  </si>
  <si>
    <t>Área da Entrada/saída</t>
  </si>
  <si>
    <t>Bilhete na máquina de entrada fácil de alcançar</t>
  </si>
  <si>
    <t>Validador de bilhete na máquina de saída fácil de alcançar</t>
  </si>
  <si>
    <t>Inclinação longitudinal nas máquinas de bilhetes</t>
  </si>
  <si>
    <t>Via de entrada:
• 0-2% (carro não se move sem travão) = 1
• 2-5% = 0
• Acima de 5% = -1</t>
  </si>
  <si>
    <t>Via de saída:
• 0-2% (carro não se move sem travão) = 1
• 2-5% = 0
• Acima de 5% = -1</t>
  </si>
  <si>
    <r>
      <t>Proteção para evitar danos na rodas os veículos:
(Sim = 2, Sem proteção = 0, S</t>
    </r>
    <r>
      <rPr>
        <sz val="11"/>
        <color indexed="8"/>
        <rFont val="Calibri"/>
        <family val="2"/>
      </rPr>
      <t>em proteção na área de entrada/saída</t>
    </r>
    <r>
      <rPr>
        <sz val="11"/>
        <color rgb="FF000000"/>
        <rFont val="Calibri"/>
        <family val="2"/>
        <charset val="204"/>
      </rPr>
      <t xml:space="preserve"> = 2)</t>
    </r>
  </si>
  <si>
    <t>Superfíce antiderrapante nas rampas de acesso/saída:
(Anti derrapante = 1, Escorregadio quando molhado = 0)</t>
  </si>
  <si>
    <t>Segurança dos Acessos</t>
  </si>
  <si>
    <t>Barreira</t>
  </si>
  <si>
    <t>Intercomunicador</t>
  </si>
  <si>
    <t>Leitor de Matrícula</t>
  </si>
  <si>
    <t>Portões de Abertura Rápida</t>
  </si>
  <si>
    <r>
      <rPr>
        <sz val="11"/>
        <color indexed="10"/>
        <rFont val="Calibri"/>
        <family val="2"/>
      </rPr>
      <t>Presença de Staff</t>
    </r>
    <r>
      <rPr>
        <sz val="11"/>
        <rFont val="Calibri"/>
        <family val="2"/>
        <charset val="204"/>
      </rPr>
      <t xml:space="preserve"> (Entrada ou saída)</t>
    </r>
  </si>
  <si>
    <t>Entrada/saída do edifício: largura entre elementos da estrutura (por faixa)
(&lt; 3 m =0, 3 – 3.3 m =1, &gt; 3.3 m = 2)</t>
  </si>
  <si>
    <r>
      <t xml:space="preserve">Saída: zona inclinação da rampa de saída termina pelo menos 5 metros </t>
    </r>
    <r>
      <rPr>
        <sz val="11"/>
        <color indexed="10"/>
        <rFont val="Calibri"/>
        <family val="2"/>
      </rPr>
      <t>antes de zona com tráfego (</t>
    </r>
    <r>
      <rPr>
        <sz val="11"/>
        <color rgb="FF000000"/>
        <rFont val="Calibri"/>
        <family val="2"/>
        <charset val="204"/>
      </rPr>
      <t>pedonal/ciclistas):</t>
    </r>
  </si>
  <si>
    <t>subtotal Entrada Carros/ Saída de Carros</t>
  </si>
  <si>
    <t>Área do Estacionamento</t>
  </si>
  <si>
    <t>Localização dos Pilares em, pelo menos, 85% dos lugares:
• não invadem a área de estacionamento = 8 
• no início do lugar = 0
• ao lado da porta do veículo = 0
• recuados, mas na área de estacionamento = 4</t>
  </si>
  <si>
    <t>Visibilidade (muitos/poucos cantos mortos, paredes no parque de estacionamento, etc.)
Bom=4, Médio=2 ou Mau=0</t>
  </si>
  <si>
    <t>Sinalização rodoviária:</t>
  </si>
  <si>
    <t>Os sinais de rânsito estão conforme o código da estrada?</t>
  </si>
  <si>
    <t xml:space="preserve">Sinalização de circulação: A sinalização é clara, completa e inequívoca? </t>
  </si>
  <si>
    <t>Completa ?</t>
  </si>
  <si>
    <t>Fácil de ver ?</t>
  </si>
  <si>
    <t>Inequívoca ?</t>
  </si>
  <si>
    <t xml:space="preserve">Sinalização de saída do parque de estacionamento: A sinalização é clara, completa e inequívoca? </t>
  </si>
  <si>
    <t>Marcação dos lugares de estacionamento</t>
  </si>
  <si>
    <t>Lugares de estacionamento estão claramente marcados?</t>
  </si>
  <si>
    <t>As marcações estendem-se até às paredes para ajudar os condutrores?</t>
  </si>
  <si>
    <t>As marcações no pavimento são:</t>
  </si>
  <si>
    <t>Completas ?</t>
  </si>
  <si>
    <t>Fáceis de ver ?</t>
  </si>
  <si>
    <t>Inequívocas ?</t>
  </si>
  <si>
    <t>Disponibilidade de lugares para pessoas com mobilidade condicionada anunciada na entrada do parque de estacionamento:</t>
  </si>
  <si>
    <t>Acessibilidade para pessoas com mobilidade condicionada?</t>
  </si>
  <si>
    <t>Lugares com mínimo de 3.5 m de largura ?</t>
  </si>
  <si>
    <t>Perto da saída pedonal ?</t>
  </si>
  <si>
    <t>Sinalização para pessoas com mobilidade condicionada?</t>
  </si>
  <si>
    <r>
      <t>Ângulo de estacionamento em 85% dos lugares:
(Ângulo 76-90°</t>
    </r>
    <r>
      <rPr>
        <sz val="6"/>
        <color indexed="8"/>
        <rFont val="Arial"/>
        <family val="2"/>
      </rPr>
      <t xml:space="preserve"> </t>
    </r>
    <r>
      <rPr>
        <sz val="10"/>
        <color indexed="8"/>
        <rFont val="Arial"/>
        <family val="2"/>
      </rPr>
      <t>= 0, Ângulo  45-75°</t>
    </r>
    <r>
      <rPr>
        <sz val="6"/>
        <color indexed="8"/>
        <rFont val="Arial"/>
        <family val="2"/>
      </rPr>
      <t xml:space="preserve"> </t>
    </r>
    <r>
      <rPr>
        <sz val="10"/>
        <color indexed="8"/>
        <rFont val="Arial"/>
        <family val="2"/>
      </rPr>
      <t>= 2)</t>
    </r>
  </si>
  <si>
    <r>
      <t xml:space="preserve">Largura dos lugares (85% dos lugares), A ou B:
A: Ângulo Estacionamento 76 - 90 graus
(2.25m = -5, 2.30m = 0, 2.35m = 2, 2.40m = 4, 2.45m = 6, 2.50m = 8) 
B: Ângulo Estacionamento 45-75 graus
(2.25m = -5, 2.30m = 1, 2.35m = 3, 2.40m = 5, 2.45m = 8)
</t>
    </r>
    <r>
      <rPr>
        <b/>
        <sz val="10"/>
        <color indexed="8"/>
        <rFont val="Arial"/>
        <family val="2"/>
      </rPr>
      <t xml:space="preserve">A largura de 2,25m aplica-se apenas para os parques de estacionamento renovados, novos parques de estacionamento devem ter no mínimo 2,30m </t>
    </r>
  </si>
  <si>
    <t>Medida total de uma ilha com um lugar de largura e dois lugares de profundidade de dois lugares, dependendo do ângulo de estacionamento e largura do lugar:
Largura do lugar: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Se igual ou superior ao valor da tabela acima, 3 pontos.
Até 30 cm menos, 2 pontos
Até 60 cm menos,  1 ponto
Mais de 60 cm a menos: 0 pontos.</t>
  </si>
  <si>
    <t>Guias para evitar danos às rodas dos veículos
•  Sim = 2, Sem proteção = 0</t>
  </si>
  <si>
    <t>Rampas de Veículos</t>
  </si>
  <si>
    <t>É um parque de estacionamento de um único piso, sem rampas ou níveis de estacionamento inclinados?</t>
  </si>
  <si>
    <t>Superfície da rampa entre áreas de estacionamento (Antiderrapante 1, Liso 0, sem rampas 1)</t>
  </si>
  <si>
    <t>A inclinação longitudinal das rampas é (não utilizado para estacionamento)
•  &lt;10%=3, 10-15%=1, &gt;15%=0, sem rampas=3</t>
  </si>
  <si>
    <t>Largura da rampa, entre guias. Todas as rampas medidas no ponto mais estreito.</t>
  </si>
  <si>
    <t>As rampas curvas devem ser 1m de largura adicional para conseguir a mesma pontuação. As rampas são curvas?</t>
  </si>
  <si>
    <t>Curva de abordagem para rampas retas
•  &lt;7.5m=0, 7.5–9m=1, &gt;9m=2, sem rampas=2</t>
  </si>
  <si>
    <t>Acessos Pedonais</t>
  </si>
  <si>
    <t>Lista de Itens</t>
  </si>
  <si>
    <t>Acesso pedonal controlado por bilhete/cartão de passe quando parque de estacionamento aberto (Sim=1, Não=0)</t>
  </si>
  <si>
    <t>Orientação:</t>
  </si>
  <si>
    <t>no elevador:</t>
  </si>
  <si>
    <t>no hall de entrada do elevador:</t>
  </si>
  <si>
    <t>Botões de controle do elevador à altura da cadeira de rodas
•  Sim = 1, Outro = 0</t>
  </si>
  <si>
    <t>Largura (&lt;90 cm =0, &gt;=90 cm = 2)</t>
  </si>
  <si>
    <t>Os elevadores são a principal ligação vertical? (escadas apenas secundárias ou fuga)</t>
  </si>
  <si>
    <t>Vista limpa (Sim = 1, Não = 0, Irrelevante = 1)</t>
  </si>
  <si>
    <t>Escadas (incl. maior visibilidade dos degraus)</t>
  </si>
  <si>
    <t>Largura (&lt; 1.5 m = 0, &gt; 1.5m = 2)</t>
  </si>
  <si>
    <t>Corrimão (Não tem corrimão = 0, Um lado = 1, Dois lados = 2)</t>
  </si>
  <si>
    <t>Maior visibilidade dos degraus para pessoas com deficiência visual (Sim = 2, Não = 0)</t>
  </si>
  <si>
    <t>Antiderrapante à superfície em escadas: (Sim = 2, Não = 0)</t>
  </si>
  <si>
    <t>Equipamentos de Segurança</t>
  </si>
  <si>
    <t>Lista de Items</t>
  </si>
  <si>
    <t>CCTV com aviso na entrada = 3, Não tem CCTV = 0</t>
  </si>
  <si>
    <t>CCTV em:</t>
  </si>
  <si>
    <t>Máquina Pagamento: Sim =1, Não =0</t>
  </si>
  <si>
    <t>Hall do Elevador, todos os níveis: Sim =1, Não =0</t>
  </si>
  <si>
    <t>Caixa de escadas, todos os níveis: Sim =1, Não =0</t>
  </si>
  <si>
    <t>Entradas Pedonais: Sim =1, Não =0</t>
  </si>
  <si>
    <t>Maioria da Área de Estacionamento (65%):Sim =3, Não =0</t>
  </si>
  <si>
    <t>Staff contactável via:</t>
  </si>
  <si>
    <t>Intercomunicador na máquina de pagamento e/ou entradas controladas (24/7=3, Todas as horas de acesso, se não 24/7= 2, Part-time/não disponível = 0)</t>
  </si>
  <si>
    <t>Presença de pessoal do Staff fardado e patrulhamento do parque de estacionamento
(24/7 = 3, Durante Horário de acesso = 2, Após Horário de acesso = 1, Não = 0)</t>
  </si>
  <si>
    <t>Saída/entrada de veículos bloqueável: 
(Portão fechado/portão de enrolar depois de horas de acesso = 2, seguro: rápida abertura do portão durante o dia = 4, seguro: portão de abertura lenta durante o dia = 2, Não previsto = 0)</t>
  </si>
  <si>
    <t>Saída/entrada de caminhos pedonais (depois do horário de funcionamento).
(Porta/portão/portão de enrolar &lt;= 15cm abertura máxima = 2, mais de  15 cm = 0, não previsto = 0, Irrelevante (24 hours de abertura) = 2)</t>
  </si>
  <si>
    <t>Grelhas em aberturas externas e grades de segurança
(&lt;= 15 cm = 2, &gt; 15 cm ou sem proteção= 0, Irrelevante (sem aberturas externas) = 2)</t>
  </si>
  <si>
    <t>Identificação de lugares de estacionamento vagos</t>
  </si>
  <si>
    <t>Nível do piso de estacionamento (sim/bom = 2, não/mau = 0)</t>
  </si>
  <si>
    <t>Os pisos estão identificados de forma clara para os condutores? (Bom =3, Adequado =2, Pobre =1, Não =0)</t>
  </si>
  <si>
    <t>As sub-áreas dos pisos estão identificadas de forma clara para os condutores? (Bom =3, Adequado =2, Pobre =1, Não =0)</t>
  </si>
  <si>
    <t>As saídas de emergência e os caminhos de fuga estão claramente marcados
• A partir de todos os locais = 3
• maioria dos locais= 2
• alguns locais=1
• Sem identificação dos caminhos de fuga=0)</t>
  </si>
  <si>
    <t>Os nívies dos pisos estão marcados de forma clara?
(bom =3, adequado=2, pobre=1, nenhum =0. Parque com um único piso = 3)</t>
  </si>
  <si>
    <t>Existe sinalização adicional ou instruções para orientar os peões no piso de estacionamento
(bom =2, alguns =1, nenhum = 0)</t>
  </si>
  <si>
    <t>Os lugares de estacionamento estão individualmente numerados
(Numerados, incluindo identificação no chão =2, Apenas número =1, nada =0)</t>
  </si>
  <si>
    <t>Utilização de cores para localização
(Sim= 1, Não= 0)</t>
  </si>
  <si>
    <t>Somente sinais estáticos (Sim = 1, Não = 0)</t>
  </si>
  <si>
    <t>Adicionalmente sinalização dinâmica (Sim = 1, Não = 0)</t>
  </si>
  <si>
    <t>Sinalização iluminada na entrada do parque de estacionamento</t>
  </si>
  <si>
    <t>Sinal direcional (seta verde, cruz vermelha) (Sim = 1, Não = 0)</t>
  </si>
  <si>
    <t>Sinal completo/livre (Sim = 1, Não = 0)</t>
  </si>
  <si>
    <t>Sinalização na entrada pedonal (Sim = 1, Não = 0)</t>
  </si>
  <si>
    <t>Conforto e Diversos</t>
  </si>
  <si>
    <t>Placas informativas nas entradas/saídas pedonais:</t>
  </si>
  <si>
    <t>Horário de funcionamento normal/especial (sim = 1, não = 0)</t>
  </si>
  <si>
    <t>Tarifário legível e compreensível (sim = 1, não = 0)</t>
  </si>
  <si>
    <t>Opções de pagamento (pagamento na saída/pagamento na caixa de pagamento):</t>
  </si>
  <si>
    <t>Aceita moedas? (sim =1, não =0)</t>
  </si>
  <si>
    <t>Devolução de troco? (sim =1, não =0)</t>
  </si>
  <si>
    <t>Aceita notas?  (sim =1, não =0)</t>
  </si>
  <si>
    <t>Aceita cartões bancários?  (sim =1, não =0)</t>
  </si>
  <si>
    <t>Pagamento por cartão/telefone na saída? (sim =1, não =0)</t>
  </si>
  <si>
    <t>Identificação e pagamento por reconhecimento de matrícula? (sim =1, não =0)</t>
  </si>
  <si>
    <t>Aceita outros cartões: Quantos? (1 ponto por opção adicional até 3)</t>
  </si>
  <si>
    <t>Pagamento na receção com funcionário: (sim = 1, não = 0)</t>
  </si>
  <si>
    <t>É um Parque de Estacionamento sem barreiras?</t>
  </si>
  <si>
    <t>Número de pontos de Pagamento por Barreira controlada no parque de estacionamento:
(Um ponto de pagamento = 0, Mais do que um = 1, um em cada entrada pedonal, excluindo escadas de incêndio = 2, mais do que um em cada entrada pedonal = 3)</t>
  </si>
  <si>
    <r>
      <t xml:space="preserve">Número de pontos de Pagamento para </t>
    </r>
    <r>
      <rPr>
        <sz val="10"/>
        <color indexed="10"/>
        <rFont val="Arial"/>
        <family val="2"/>
      </rPr>
      <t>parques de estacionamento sem barreiras</t>
    </r>
    <r>
      <rPr>
        <sz val="10"/>
        <color indexed="8"/>
        <rFont val="Arial"/>
        <family val="2"/>
      </rPr>
      <t xml:space="preserve">
(Um = 0, &lt;1 para cada 50 lugares = 2,&gt; 1 para cada 50 lugares = 3)</t>
    </r>
  </si>
  <si>
    <t>WC para clientes:</t>
  </si>
  <si>
    <t>Existem? (sim= 2, não= 0)</t>
  </si>
  <si>
    <t>WC para deficientes? (sim=1, não= 0)</t>
  </si>
  <si>
    <t>unisexo = 0, masculino/feminino separados = 1</t>
  </si>
  <si>
    <t>pessoal de apoio: sim=1, não= 0</t>
  </si>
  <si>
    <t>Uso de cores/ embelezamento da obra</t>
  </si>
  <si>
    <t>Pilares coloridos =1, não/betão cinza = 0</t>
  </si>
  <si>
    <t>Paredes coloridas =1, não/betão cinza = 0</t>
  </si>
  <si>
    <t>Embelezamento extra</t>
  </si>
  <si>
    <t>Plantas: (Sim = 1, Não = 0)</t>
  </si>
  <si>
    <t>Outros: (Sim = 1, Não = 0)</t>
  </si>
  <si>
    <t>Cobertura da rede móvel (Sim = 2, Não = 0)</t>
  </si>
  <si>
    <t>Continuidade do sinal de rádio (Sim = 1, Não = 0)</t>
  </si>
  <si>
    <t>Música de fundo: sim = 2, Não = 0</t>
  </si>
  <si>
    <t>Energia e Ambiente</t>
  </si>
  <si>
    <t>Sistemas de iluminação de poupança de energia</t>
  </si>
  <si>
    <t>Compensação do fator de potência (Sim=1, Não=0)</t>
  </si>
  <si>
    <t>Outros Sistemas (Sim=1, Não=0)</t>
  </si>
  <si>
    <t>Iluminação variável com deteção de movimento, mantendo-se a qualidade (sim= 2, não= 0)</t>
  </si>
  <si>
    <t>Iluminação adaptável para compensação da luz do dia na área da entrada 
(sim= 2, não= 0)</t>
  </si>
  <si>
    <t>Painéis solares na cobertura ou outras iniciativas de energia verde (sim= 2, não= 0)</t>
  </si>
  <si>
    <t>Pontos para recarga de Veículos Elétricos: (Sim, mais que um= 2, Um ponto de reacrga=1, Nenhum=0)</t>
  </si>
  <si>
    <t>Outras iniciativas ambientais ou zero emissão
•  sim= 2, não= 0</t>
  </si>
  <si>
    <t>Penalizações</t>
  </si>
  <si>
    <t>Presença de Graffitis</t>
  </si>
  <si>
    <t>Caixa de Escadas (Sim= -2, Não= 0)</t>
  </si>
  <si>
    <t>Elevador (Sim= -2, Não= 0)</t>
  </si>
  <si>
    <t>WC (Sim= -2, Não= 0)</t>
  </si>
  <si>
    <t>Área de estacionamento (Sim= -2, Não= 0)</t>
  </si>
  <si>
    <t>Paredes exteriores (Sim= -2, Não= 0)</t>
  </si>
  <si>
    <t>Presença de sujidade</t>
  </si>
  <si>
    <t>Fora das entradas pedonais + carros (Sim= -2, Não= 0)</t>
  </si>
  <si>
    <t>Má qualidade do trabalho de pintura</t>
  </si>
  <si>
    <t>Caixa de escadas (Sim= -2, Não= 0)</t>
  </si>
  <si>
    <t>Sinalização horizontal de má qualidade (Sim= -2, Não= 0)</t>
  </si>
  <si>
    <t>Má qualidade/falta de manutenção (buracos, danos)</t>
  </si>
  <si>
    <t>Pisos (Sim= -2, Não= 0)</t>
  </si>
  <si>
    <t>Paredes (Sim= -2, Não= 0)</t>
  </si>
  <si>
    <t>Evidência de água parada (Sim= -2, Não= 0)</t>
  </si>
  <si>
    <t>Evidência de maus cheiros</t>
  </si>
  <si>
    <t>Elevadores (Sim= -2, Não= 0)</t>
  </si>
  <si>
    <t>Plataforma de estacionamento (Sim= -2, Não= 0)</t>
  </si>
  <si>
    <t>Mais de 15% dos lugares de estacionamento em becos sem saída sem indicação de ocupação. (Sim= -5, Não=0)</t>
  </si>
  <si>
    <t>Vários pontos de crítica (para explicar!)
[Por exemplo som oco, pneus a ranger, visitantes indesejados, etc.] até -10</t>
  </si>
  <si>
    <t>Bonificações</t>
  </si>
  <si>
    <t>Área especial para motociclos (Sim= 1, Não= 0)</t>
  </si>
  <si>
    <t>Cacifos para uso dos clientes (Sim= 1, Não= 0)</t>
  </si>
  <si>
    <t>Outras ajudas (Sim= 1, Não= 0)</t>
  </si>
  <si>
    <t>Aluguer de bicicletas (Sim= 1, Não= 0)</t>
  </si>
  <si>
    <t>Outros formas de assistência ao condutor (Sim= 1, Não= 0)</t>
  </si>
  <si>
    <t>Desfibrilador (Sim= 1, Não= 0)</t>
  </si>
  <si>
    <t>Equipa treinada de primeiros socorros (Sim= 1, Não= 0)</t>
  </si>
  <si>
    <t>Dados de tráfego em tempo real (Sim= 1, Não= 0)</t>
  </si>
  <si>
    <t>Outras informações em tempo real acessível (por exemplo, eventos locais) (Sim= 1, Não= 0)</t>
  </si>
  <si>
    <t>Medidas para evitar filas de trânsito nas horas de ponta (por exemplo. utilização de um canal alternativo bidirecional de entrada/saída) - (Sim= 3, Não= 0)</t>
  </si>
  <si>
    <t>Balcão de atendimento ao cliente (Sim= 1, Não= 0)</t>
  </si>
  <si>
    <t>Escadas rolantes e/ou passadeiras rolantes
(De/para todos níveis =5, De/para alguns níveis =3, Não existem escadas rolantes ou passadeiras rolantes = 0)</t>
  </si>
  <si>
    <t>Localização de carros estacionados por bilhete ou matrícula
(Sim= 1, Não= 0)</t>
  </si>
  <si>
    <t>Outros pontos positivos, por exemplo, serviços extras, funcionários simpáticos, paredes/piso de azulejo, bom ajuste do parque de estacionamento na paisagem urbana etc até dez pontos de bônus adicionais. Para ser explicitamente identificado.</t>
  </si>
  <si>
    <t>Raio de curvatura da rampa (raio externo)
•  até 9m=0, 9–10 m=1, &gt;10m=2, sem rampas=2
Nas vias com rampas duplas esta medida refere-se à faixa interior.</t>
  </si>
  <si>
    <t>Inclinação das rampas de estacionamento.
•  &lt;5%=3, 5-7 =1, &gt;7%=0, sem inclinação=3</t>
  </si>
  <si>
    <t>Pé direito nas zonas pedonais  - excluindo portas
• &lt;2.00m = 0
• 2.00m – 2.10m = 1
• 2.10m – 2.20m = 2
• &gt; 2.20m = 4</t>
  </si>
  <si>
    <t>As portas das entradas para peões são fáceis de usar?
(Sim, automática ou aberta = 4, Fácil de abrir = 2, Não = 0)</t>
  </si>
  <si>
    <t>Via pedonal separada (pe, passeios, passadeiras ou faixas coloridas) (sim = 2, não = 0)</t>
  </si>
  <si>
    <t>Plano da cidade numa localização central do parque de estacionamento:
(Em cada saída pedonal = 2, Uma localização = 1, Não = 0)</t>
  </si>
  <si>
    <t>Nas saídas de peões em torno do estacionamento, para os principais pontos de atração?  (Sim=1, Não=0):</t>
  </si>
  <si>
    <t>Ao redor do parque de estacionamento para as entradas de peões? (Sim=1, Não=0):</t>
  </si>
  <si>
    <t>É um parque de estacionamento com um único piso térreo? (mas não de superficie aberta)</t>
  </si>
  <si>
    <t>Existem elevadores até ao nível da rua?</t>
  </si>
  <si>
    <t>Número de Elevadores que servem o nível da rua:
(1 elevador = 1, + 2 elevadores = 5)</t>
  </si>
  <si>
    <t>Capacidade dos elevadores:
(Mais de 8 pessoas = 3, 4-8 pessoas = 1, menos que 4 = 0)</t>
  </si>
  <si>
    <t>Visibilidade desde o elevador para o hall ou para a área de estacionamento:
(nenhuma visibilidade do elevador = 0, portas de vidros/paredes = 3, sem elevador = 0)</t>
  </si>
  <si>
    <t>Indicação do Piso ou Andar:</t>
  </si>
  <si>
    <t xml:space="preserve">As portas do elevador dão acesso direto à área de estacionamento </t>
  </si>
  <si>
    <t>Portas de emergência estão abertas? (Sim=2, Não= 0)</t>
  </si>
  <si>
    <t>Visibilidade (Porta ou Muro envidraçados = 3, Sem visibilidade = 0)</t>
  </si>
  <si>
    <t>Caixas de Escadas (visibilidade e orientação)</t>
  </si>
  <si>
    <t>Indicação do piso ou andar (Sim = 1, Não = 0, Irrelevante = 1)</t>
  </si>
  <si>
    <t>Aberturas externas nas Caixas de Escadas
(janela / grelha para fora do parque de estacionamento =2, nenhum =0)</t>
  </si>
  <si>
    <t>Presença de Staff (no local ou remoto)
•  Sim = 5, Não = 0</t>
  </si>
  <si>
    <t>Entrada de Veículos: Sim =1, Não =0</t>
  </si>
  <si>
    <t>Saída de Veículos: Sim =1, Não =0</t>
  </si>
  <si>
    <t>Entradas e Saídas de Veículos</t>
  </si>
  <si>
    <t>Rampas: Sim = 1, Não = 0</t>
  </si>
  <si>
    <t>Sistema de chamada de emergência na área de estacionamento (24/7=3, Todas as horas de acesso, se não 24/7= 2, Part-time/não disponível = 0)</t>
  </si>
  <si>
    <t>Por fila de estacionamento (sim/bom = 2 = 1, não/mau = 0)</t>
  </si>
  <si>
    <t>Lugar a Lugar (sim/bom = 2, não/mau = 0)</t>
  </si>
  <si>
    <t>Sinalética para veículos</t>
  </si>
  <si>
    <t>Sinalética</t>
  </si>
  <si>
    <t>Há sinalização a indicar a entrada do parque de estacionamento nas estradas circundantes ao mesmo?</t>
  </si>
  <si>
    <t>Termos e Condições do Operador (sim = 1, não = 0)</t>
  </si>
  <si>
    <t>Pagamento por telemóvel? (sim =1, não =0)</t>
  </si>
  <si>
    <t>Obras de arte: (Sim = 2, Não = 0)</t>
  </si>
  <si>
    <r>
      <t xml:space="preserve">Música diferenciada para facilitar a orientação no parque de estacionamento :  </t>
    </r>
    <r>
      <rPr>
        <sz val="10"/>
        <rFont val="Arial"/>
        <family val="2"/>
      </rPr>
      <t>sim =1, Não = 0</t>
    </r>
  </si>
  <si>
    <t>Iluminação adaptável para condições de luz ambiente no piso de estacionamento com luz do dia
(sim= 2, não= 0, Irrelevante (abaixo do solo) =2)</t>
  </si>
  <si>
    <t>Tratamento especial de água residuais:
•  sim= 2, não= 0</t>
  </si>
  <si>
    <t>Separação de água potável / água de limpeza, recuperação de águas pluviais
•  sim= 2, não= 0</t>
  </si>
  <si>
    <t>Sistema de Partilha de Veículos ou iniciativas semelhantes
•  sim= 2, não= 0</t>
  </si>
  <si>
    <t>Penalização para Condição Obrigatória 1.4</t>
  </si>
  <si>
    <t>Extras no parque de estacionamento</t>
  </si>
  <si>
    <t>Máquinas de Vending (Sim= 1, Não= 0)</t>
  </si>
  <si>
    <t>Possibilidade de escapatória antes da barreira de altura ou sinal completo para evitar inversões (Sim= 3, Não= 0)</t>
  </si>
  <si>
    <t>Manhã</t>
  </si>
  <si>
    <t>Noite</t>
  </si>
  <si>
    <t>Sol</t>
  </si>
  <si>
    <t>Nublado</t>
  </si>
  <si>
    <t>Chuva</t>
  </si>
  <si>
    <t>Escuro</t>
  </si>
  <si>
    <t>Cerca de 50%</t>
  </si>
  <si>
    <t>Falha</t>
  </si>
  <si>
    <t>Sim</t>
  </si>
  <si>
    <t>Não</t>
  </si>
  <si>
    <t>Irrelevante</t>
  </si>
  <si>
    <t>Sinalização incompleta</t>
  </si>
  <si>
    <t>Sem sinalização</t>
  </si>
  <si>
    <t>Acima de 5%</t>
  </si>
  <si>
    <t>Sem proteção</t>
  </si>
  <si>
    <t>Anti deslizamento</t>
  </si>
  <si>
    <t>Escorregadio quando molhado</t>
  </si>
  <si>
    <t>Pilar não invade a área de estacionamento</t>
  </si>
  <si>
    <t>Pilar no início do lugar</t>
  </si>
  <si>
    <t>Pilar ao lado da porta do veículo</t>
  </si>
  <si>
    <t>Pilar recuado, mas invade a área de estacionamento</t>
  </si>
  <si>
    <t>Bom</t>
  </si>
  <si>
    <t>Médio</t>
  </si>
  <si>
    <t>Mau</t>
  </si>
  <si>
    <t>Ângulo 76°-90°</t>
  </si>
  <si>
    <t>Ângulo  45°-75°</t>
  </si>
  <si>
    <t>acima de 2.50 m</t>
  </si>
  <si>
    <t>Em conformidade com a tabela</t>
  </si>
  <si>
    <t>Até 30 cm a menos</t>
  </si>
  <si>
    <t>Até 60 cm a menos</t>
  </si>
  <si>
    <t>Mais de 60 cm a menos</t>
  </si>
  <si>
    <t>Antiderrapante</t>
  </si>
  <si>
    <t>Suave</t>
  </si>
  <si>
    <t>Sem rampas</t>
  </si>
  <si>
    <t>Sim (automático ou aberta)</t>
  </si>
  <si>
    <t>Fácil de abrir</t>
  </si>
  <si>
    <t>Um elevador</t>
  </si>
  <si>
    <t>Dois ou mais elevadores</t>
  </si>
  <si>
    <t>Mais que 8 pessoas</t>
  </si>
  <si>
    <t>4 a 8 pessoas</t>
  </si>
  <si>
    <t>Menos que 4 pessoas</t>
  </si>
  <si>
    <t>portas de vidros/paredes</t>
  </si>
  <si>
    <t>sem elevador</t>
  </si>
  <si>
    <t>Porta de vidro/parede</t>
  </si>
  <si>
    <t>Sem vidro</t>
  </si>
  <si>
    <t>Não tem corrimão</t>
  </si>
  <si>
    <t>Um lado</t>
  </si>
  <si>
    <t>Dois lados</t>
  </si>
  <si>
    <t>janela/grelhas</t>
  </si>
  <si>
    <t>Nenhum</t>
  </si>
  <si>
    <t>Todas as horas de acesso, se não 24*7</t>
  </si>
  <si>
    <t>Tempo parcial/não disponível</t>
  </si>
  <si>
    <t>Durante horário de funcionamento</t>
  </si>
  <si>
    <t>Fora do horário de funcionamento</t>
  </si>
  <si>
    <t>Portão/porta de enrolar fechados depois do horário de funcionamento</t>
  </si>
  <si>
    <t>Protegido : rápida abertura do portão durante o dia</t>
  </si>
  <si>
    <t>Protegido : portão de abertura lento durante o dia</t>
  </si>
  <si>
    <t>Não previsto</t>
  </si>
  <si>
    <t>Abertura Máxima da Porta/portão/porta de enrolar &lt;= 15cm</t>
  </si>
  <si>
    <t>Abertura Máxima da Porta/portão/porta de enrolar &gt; 15cm</t>
  </si>
  <si>
    <t>não previsto</t>
  </si>
  <si>
    <t>Irrelevante (sem aberturas externas)</t>
  </si>
  <si>
    <t>Sim/Bom</t>
  </si>
  <si>
    <t>Não/Mau</t>
  </si>
  <si>
    <t>Adequado</t>
  </si>
  <si>
    <t>Pobre</t>
  </si>
  <si>
    <t>A partir de todos os locais</t>
  </si>
  <si>
    <t>A partir de maioria dos locais</t>
  </si>
  <si>
    <t>A partir de alguns locais</t>
  </si>
  <si>
    <t>Não existe identificação dos caminhos de fuga</t>
  </si>
  <si>
    <t>Parque com um único piso</t>
  </si>
  <si>
    <t>Alguns</t>
  </si>
  <si>
    <t>Numerados, incluindo identificação no chão</t>
  </si>
  <si>
    <t>Só números</t>
  </si>
  <si>
    <t>Uma estação de pagamento</t>
  </si>
  <si>
    <t>Mais que uma</t>
  </si>
  <si>
    <t>Um em cada entrada pedonal</t>
  </si>
  <si>
    <t>Mais que um em cada entrada pedonal</t>
  </si>
  <si>
    <t>Um</t>
  </si>
  <si>
    <t>Unisexo</t>
  </si>
  <si>
    <t>Masculino/Feminino Separado</t>
  </si>
  <si>
    <t>Pilares coloridos</t>
  </si>
  <si>
    <t>Não/Betão cinzento</t>
  </si>
  <si>
    <t>Paredes coloridas</t>
  </si>
  <si>
    <t>Para/de todos os níveis</t>
  </si>
  <si>
    <t>Para/ de alguns níveis</t>
  </si>
  <si>
    <t>Não há escadas rolantes ou passadeiras rolantes</t>
  </si>
  <si>
    <t>Sinalização clara</t>
  </si>
  <si>
    <t>Não há lancil junto às entrada/saída</t>
  </si>
  <si>
    <t>Data</t>
  </si>
  <si>
    <t>Língua</t>
  </si>
  <si>
    <t>Morada</t>
  </si>
  <si>
    <t>Localidade</t>
  </si>
  <si>
    <t>Número de Lugares</t>
  </si>
  <si>
    <t>E-mail</t>
  </si>
  <si>
    <t>Telefone</t>
  </si>
  <si>
    <t>Verificado por</t>
  </si>
  <si>
    <t>Condições de Avaliação</t>
  </si>
  <si>
    <t>Condições Meteorológicas</t>
  </si>
  <si>
    <t>Taxa de ocupação</t>
  </si>
  <si>
    <t>Comentários</t>
  </si>
  <si>
    <t>Número de Ok:</t>
  </si>
  <si>
    <t>Número de Falhas:</t>
  </si>
  <si>
    <t>Não avaliado:</t>
  </si>
  <si>
    <t>Total Items + Subitems</t>
  </si>
  <si>
    <t>Itens Completos</t>
  </si>
  <si>
    <t>Não medido</t>
  </si>
  <si>
    <t>Pontuação atribuída</t>
  </si>
  <si>
    <t>Pontuação Máxima</t>
  </si>
  <si>
    <t>Percentagem</t>
  </si>
  <si>
    <t>Avaliação Global</t>
  </si>
  <si>
    <t>Categoria</t>
  </si>
  <si>
    <t>Número de itens</t>
  </si>
  <si>
    <t>Número de Oks</t>
  </si>
  <si>
    <t>Número de Falhas</t>
  </si>
  <si>
    <t>Para ser concluído</t>
  </si>
  <si>
    <t>% Obtida</t>
  </si>
  <si>
    <t>Categoria de Pontos</t>
  </si>
  <si>
    <t>Pontos Obtidos</t>
  </si>
  <si>
    <t>% Completa:</t>
  </si>
  <si>
    <t>Subtotal</t>
  </si>
  <si>
    <t>Valor Medido</t>
  </si>
  <si>
    <t>Contribuição para a Pontuação Final</t>
  </si>
  <si>
    <t>Observações</t>
  </si>
  <si>
    <t>Isto irá apagar todos os dados na Folha de Trabalho ESPA. Tem a certeza?</t>
  </si>
  <si>
    <t>Senha de entrada</t>
  </si>
  <si>
    <t>Password incorreta</t>
  </si>
  <si>
    <t>Pessoa a contatar</t>
  </si>
  <si>
    <t>Periodo do dia</t>
  </si>
  <si>
    <t>Aprovado</t>
  </si>
  <si>
    <t>Reprovado</t>
  </si>
  <si>
    <t>Valor da Categoria</t>
  </si>
  <si>
    <t>Mínimo requerido para Prémio ESPA</t>
  </si>
  <si>
    <t>Patamares Mínimos em Todas as Categorias</t>
  </si>
  <si>
    <t>Prémio ESPA</t>
  </si>
  <si>
    <t>Contribuição Máxima para Pontuação Final</t>
  </si>
  <si>
    <t xml:space="preserve">Introduziu uma password incorreta. A Folha de Trabalho ESPA não pode ser desprotegida. </t>
  </si>
  <si>
    <t>Por favor introduza a password para desproteger a Folha de Trabalho ESPA</t>
  </si>
  <si>
    <t>This will print 15 pages on your active printer. Are you sure?</t>
  </si>
  <si>
    <t>Irá imprimir 15 páginas na sua impressora ativa. Tem a certeza?</t>
  </si>
  <si>
    <t>Aviso</t>
  </si>
  <si>
    <t>Alterar o idioma apaga todas as respostas anteriores. Deseja continuar?</t>
  </si>
  <si>
    <t>Prémio ESPA Dourado</t>
  </si>
  <si>
    <t>Condições Obrigatórias para ESPA Dourado</t>
  </si>
  <si>
    <t>Avaliação Global - Prémio Dourado</t>
  </si>
  <si>
    <t>A folha de cálculo ESPA utiliza Macros. Por favor feche e volte a abrir o ficheiro com a opção Macros activada.</t>
  </si>
  <si>
    <t>Nome do Parque</t>
  </si>
  <si>
    <t>Structure</t>
  </si>
  <si>
    <t>Ano de Construção</t>
  </si>
  <si>
    <t>Estrutura</t>
  </si>
  <si>
    <t>Tipo</t>
  </si>
  <si>
    <t>Access Control System</t>
  </si>
  <si>
    <t>Sistema de Controle de Acessos</t>
  </si>
  <si>
    <t>Número de Elevadores</t>
  </si>
  <si>
    <t>Número de Pisos</t>
  </si>
  <si>
    <t>Translation Sheet</t>
  </si>
  <si>
    <t>Caracteristicas Principais</t>
  </si>
  <si>
    <t>TAB: Languages</t>
  </si>
  <si>
    <t>TAB: Options</t>
  </si>
  <si>
    <t>TAB: Tags</t>
  </si>
  <si>
    <t>Are Road Markings:</t>
  </si>
  <si>
    <t>Parking angle at 85 % of bays:
(Angle 76-90° = 0, Angle  45-75° = 2)</t>
  </si>
  <si>
    <t>Width of bays (85 % of bays), A or B: 
A: Parking angle 76 – 90 degrees
(2.25m = -5, 2.30m = 0, 2.35m = 2, 2.40m = 4, 2.45m = 6, 2.50m = 8) 
B: Parking angle 45-75 degrees
(2.25m = -5, 2.30m = 1, 2.35m = 3, 2.40m = 5, 2.45m = 8)
Width of 2.25m only applies for renovated car parks, new car parks must be minimum 2.30m</t>
  </si>
  <si>
    <t>Please choose width. &lt; 3m=0, 3-3.3m=1, &gt;3.3m=2, no ramps=2</t>
  </si>
  <si>
    <t>Payment options (pay at exit/pay at pay station):</t>
  </si>
  <si>
    <t>Use of colours/ embellishing works</t>
  </si>
  <si>
    <t>Extra embellishment</t>
  </si>
  <si>
    <t>drei oder mehr</t>
  </si>
  <si>
    <t>null</t>
  </si>
  <si>
    <t>ein</t>
  </si>
  <si>
    <t>zewi</t>
  </si>
  <si>
    <t>Breite &lt; 3m=0, 3-3.3m=1, &gt;3.3m=2, keine Rampen=2</t>
  </si>
  <si>
    <t>Dit zal alle bestaande data in het spreadsheet verwijderen. Wilt U dat?</t>
  </si>
  <si>
    <t>U heeft een ongeldig wachtwoord ingevoerd, beveiliging kan niet worden opgeheven</t>
  </si>
  <si>
    <t>Voer Uw wachtwoord in om de beveiliging van het spreadsheet op te heffen</t>
  </si>
  <si>
    <t>Invoer wachtwoord</t>
  </si>
  <si>
    <t>Onjuist wachtwoord</t>
  </si>
  <si>
    <t xml:space="preserve">Let op! </t>
  </si>
  <si>
    <t>Wijziging van de taal zal alle reeds gegeven antwoorden verwijderen. Wilt U doorgaan?</t>
  </si>
  <si>
    <t>Verplichte minimumeisen voor gold award</t>
  </si>
  <si>
    <t>Het ESPA werkblad gebruikt makro's, sluit het bestand en heropen met "makro's mogelijk"</t>
  </si>
  <si>
    <t>Bouwjaar</t>
  </si>
  <si>
    <t>Gebouw</t>
  </si>
  <si>
    <t>Toegangscontrole</t>
  </si>
  <si>
    <t>Aantal liften</t>
  </si>
  <si>
    <t>Aantal verdiepingen</t>
  </si>
  <si>
    <t>Hoofdkenmerken van de garage</t>
  </si>
  <si>
    <t xml:space="preserve">Penalty voor verplichte minimum eis 1.4 is van toepassing </t>
  </si>
  <si>
    <t>gemiddeld lichtniveau op vloerhoogte is minimaal 20 Lux</t>
  </si>
  <si>
    <t>gemiddeld lichtniveau op vloerhoogte is minimaal 50 Lux</t>
  </si>
  <si>
    <t>Comfort and Miscellaneous</t>
  </si>
  <si>
    <t>The ESPA Worksheet uses Macros. Please enable content or close and reopen with Macros Enabled</t>
  </si>
  <si>
    <t>Tags</t>
  </si>
  <si>
    <t>from English to:</t>
  </si>
  <si>
    <t>Bij betaalautomaat; op 1 m hoogte
• &gt; 200 Lux =4; 
• 100-200  Lux = 0,04punt per Lux boven 100;
• &lt; 100 Lux= 0;
• Indien geen betaalautomaten: als bij uitrit (0 invullen)</t>
  </si>
  <si>
    <t>In lift; op vloerhoogte
• &gt; 70 Lux = 4; 
• 30-70  Lux = 0,1punt per Lux boven 30;
• &lt; 30 Lux = 0; 
• Eénlaags garage zonder lift = 3 (0 invullen)</t>
  </si>
  <si>
    <t>Lichtiniveau op vloerhoogte, gemiddelde van de metingen volgens stramien (zie onder)
• &gt; 100 Lux= 10; 
• 20-100  Lux = 0,125punt per Lux boven 20;
• &lt; 20 Lux= 0</t>
  </si>
  <si>
    <t>Breedte in/uitrit tussen de constructie op spiegelhoogte, kolom, kozijn, poortconstructie o.i.d. (per strook)
• &lt; 3 m =0,  3 – 3.3 m =1,  &gt; 3.3 m = 2</t>
  </si>
  <si>
    <t>Uitrithelling eindigt minstens vijf meter voor kruisend verkeer (fietsers, voetgangers):</t>
  </si>
  <si>
    <t>Parkeervloer</t>
  </si>
  <si>
    <t>Vakbreedte (85 % van de vakken) 
A: Parkeerhoek 76 – 90 graden
• breedte 2.25m = -5, 2.30m = 0, 2.35m = 2, 2.40m = 4, 2.45m = 6, 2.50m = 8.
B: Parkeerhoek  45-75 graden
• breedte 2.25m = -5, 2.30m = 1, 2.35m = 3, 2.40m = 5, 2.45m = 8
Breedte 2.25m alleen toelaatbaar bij gerenoveerde garages, bij nieuwe garages geldt de minimum vakbreedte 2.30m</t>
  </si>
  <si>
    <t>Een garage met één parkeerlaag zonder hellingbanen of hellende parkeervloer krijgt standaard 10 punten. Is dit het geval?</t>
  </si>
  <si>
    <t>Kies breedte van de hellingbaan: &lt; 3m=0, 3-3.3m=1, &gt;3.3m=2</t>
  </si>
  <si>
    <t xml:space="preserve">Een garage met één parkeerlaag op straatniveau zonder trappen of liften? </t>
  </si>
  <si>
    <t>Capaciteit van de liften
• &gt; 8 personen = 3;  4-8 personen = 1; &lt;4 personen  = 0</t>
  </si>
  <si>
    <t>Dit commando leidt tot 15 afdrukpagina's op de actieve printer. Wilt U dat?</t>
  </si>
  <si>
    <t>Kolom staat compleet buiten het parkeervak</t>
  </si>
  <si>
    <t>Kolom aan het eind van het parkeervak, maar beinvloedt het parkeren</t>
  </si>
  <si>
    <t>Baujahr</t>
  </si>
  <si>
    <t>Bauart</t>
  </si>
  <si>
    <t>Typ</t>
  </si>
  <si>
    <t>Zutrittskontrolle</t>
  </si>
  <si>
    <t>Anzahl Fahrstühle</t>
  </si>
  <si>
    <t>Anzahl Ebenen</t>
  </si>
  <si>
    <t>Stammdaten Einrichtung</t>
  </si>
  <si>
    <t>Meer dan gemiddeld één per voetgangerstoegang</t>
  </si>
  <si>
    <t>Gelijkmatigheid van verlichtingsniveau in  stramien als berekende standaard deviatie: 
• &lt; 25% van het gemiddelde = 10; 
• 25%-50% = 0,4 punt per % onder 50%;
• &gt; 50% = 0;</t>
  </si>
  <si>
    <t>End of parking space under/between light fitting</t>
  </si>
  <si>
    <t>Halfway parking space under/between light fitting</t>
  </si>
  <si>
    <t>Edge of driveway under/between light fitting</t>
  </si>
  <si>
    <t>Center of driveway under/between light fitting</t>
  </si>
  <si>
    <t>Other edge of driveway under/between light fitting</t>
  </si>
  <si>
    <t>Exit barrier opens automatically when paid at paystation, based on ANPR: Yes = 2 , no =  0</t>
  </si>
  <si>
    <t>Kerb design to avoid damage to average vehicle’s wheels
•  Yes = 2, No protection = 0 , No kerbs = 2</t>
  </si>
  <si>
    <t xml:space="preserve">Pillar placement for at least 85% of bays:
• does not intrude into the parking area = 8 
• at beginning of stall = 0
• next to car door = 0
• at back of stall but intrudes into the parking area = 4 </t>
  </si>
  <si>
    <t>Dynamic sign system additionally (Available spaces = 2, Full/Free = 1, No = 0)</t>
  </si>
  <si>
    <t>Dynamic information additionally (Available spaces = 2, Full/Free = 1, No = 0)</t>
  </si>
  <si>
    <t>Accepts cash? (yes =1, no =0)</t>
  </si>
  <si>
    <t>Payment options at exit:</t>
  </si>
  <si>
    <t xml:space="preserve">   Bank cards, national (yes =1, no =0)</t>
  </si>
  <si>
    <t xml:space="preserve">   International debit &amp; credit cards (yes =1, no =0)</t>
  </si>
  <si>
    <t xml:space="preserve">   License plate recognition connected to bankaccount or app               (yes =1, no =0).</t>
  </si>
  <si>
    <t xml:space="preserve">   RFID device connected to bankaccount or app    (yes =1, no =0).</t>
  </si>
  <si>
    <t>Accept national general traffic scheme (i.e. Tolling, public transport) (yes =1, no =0</t>
  </si>
  <si>
    <t xml:space="preserve"> Payment by smart phone? (yes =1, no =0)</t>
  </si>
  <si>
    <t>Litter bins at pedestrian entry/staircase area Yes =1, no=0</t>
  </si>
  <si>
    <t>Litter bins at parking floor (&gt;1 per 100 spaces) Yes=1, no=0</t>
  </si>
  <si>
    <t>Pick-up point for local and on-line deliveries: yes=1, no =0</t>
  </si>
  <si>
    <t xml:space="preserve">Electric Vehicles public recharging points: </t>
  </si>
  <si>
    <t>more than 10% of spaces equipped with EV charge point = 4, 5%-10% of spaces = 3, 2%-5% of spaces = 2, less than 2% of spaces=1, None=0</t>
  </si>
  <si>
    <t>Average capacity per charge point &lt;4kW=0, 4-10kW=1, 10-20kW=2, &gt;20kW=3. Fast chargers &gt;50kW= 1 additional point</t>
  </si>
  <si>
    <t xml:space="preserve">Total smart power per 100 spaces &lt;50kW=0, 50-100kW=1, 100-200kW=2, &gt;200 kW=3 </t>
  </si>
  <si>
    <t>Charging points concentrated around entry for safer firefighting access   (yes =1, no =0)</t>
  </si>
  <si>
    <t>Optional reservation of charging point integrated with booking system:  (yes =1, no =0)</t>
  </si>
  <si>
    <t xml:space="preserve">   New car park built according recycling guidelines (yes =1, no =0)</t>
  </si>
  <si>
    <t xml:space="preserve">   Other environmental  initiatives: (yes =2, no =0)</t>
  </si>
  <si>
    <t>Parking Data exchange using APDS standard (Yes=1, no=0)</t>
  </si>
  <si>
    <t xml:space="preserve">Barrierless parking with ANPR control:  1 point extra </t>
  </si>
  <si>
    <t xml:space="preserve">Park&amp;ride/public transport node at pedestrian exit yes=1, no=0, actual departure times displayed in the car park: 1 point extra </t>
  </si>
  <si>
    <t>Support of autonomous valet parking (AVP) in dedicated zone of the car park: Yes=5, no=0</t>
  </si>
  <si>
    <t xml:space="preserve">Gold Award
</t>
  </si>
  <si>
    <t>2.9</t>
  </si>
  <si>
    <t>3.1.1</t>
  </si>
  <si>
    <t>3.1.2</t>
  </si>
  <si>
    <t>3.1.3</t>
  </si>
  <si>
    <t>3.1.4</t>
  </si>
  <si>
    <t>3.4.1</t>
  </si>
  <si>
    <t>3.4.2</t>
  </si>
  <si>
    <t>3.4.3</t>
  </si>
  <si>
    <t>3.4.4</t>
  </si>
  <si>
    <t>3.5.1</t>
  </si>
  <si>
    <t>3.5.2</t>
  </si>
  <si>
    <t>3.5.3</t>
  </si>
  <si>
    <t>3.4.5</t>
  </si>
  <si>
    <t>3.6.1</t>
  </si>
  <si>
    <t>3.6.2</t>
  </si>
  <si>
    <t>3.6.3</t>
  </si>
  <si>
    <t>3.9.1</t>
  </si>
  <si>
    <t>3.9.2</t>
  </si>
  <si>
    <t>3.9.3</t>
  </si>
  <si>
    <t>3.9.4</t>
  </si>
  <si>
    <t>3.9.5</t>
  </si>
  <si>
    <t>3.9.6</t>
  </si>
  <si>
    <t>3.9.7</t>
  </si>
  <si>
    <t>3.12</t>
  </si>
  <si>
    <t>4.4.1</t>
  </si>
  <si>
    <t>4.4.2</t>
  </si>
  <si>
    <t>4.4.3</t>
  </si>
  <si>
    <t>4.4.4</t>
  </si>
  <si>
    <t>4.4.5</t>
  </si>
  <si>
    <t>4.4.6</t>
  </si>
  <si>
    <t>4.4.7</t>
  </si>
  <si>
    <t>4.4.8</t>
  </si>
  <si>
    <t>4.4.9</t>
  </si>
  <si>
    <t>4.4.10</t>
  </si>
  <si>
    <t>4.5.1</t>
  </si>
  <si>
    <t>4.5.2</t>
  </si>
  <si>
    <t>4.5.3</t>
  </si>
  <si>
    <t>4.6.1</t>
  </si>
  <si>
    <t>4.6.2</t>
  </si>
  <si>
    <t>4.6.3</t>
  </si>
  <si>
    <t>4.6.4</t>
  </si>
  <si>
    <t>4.7.1</t>
  </si>
  <si>
    <t>4.7.2</t>
  </si>
  <si>
    <t>4.7.3</t>
  </si>
  <si>
    <t>4.7.4</t>
  </si>
  <si>
    <t>4.7.5</t>
  </si>
  <si>
    <t>4.11</t>
  </si>
  <si>
    <t>5.3.1</t>
  </si>
  <si>
    <t>5.3.2</t>
  </si>
  <si>
    <t>5.3.3</t>
  </si>
  <si>
    <t>6.0.1</t>
  </si>
  <si>
    <t>6.0.2</t>
  </si>
  <si>
    <t>6.0.3</t>
  </si>
  <si>
    <t>6.8.1</t>
  </si>
  <si>
    <t>6.8.2</t>
  </si>
  <si>
    <t>6.8.3</t>
  </si>
  <si>
    <t>6.10.1</t>
  </si>
  <si>
    <t>6.10.2</t>
  </si>
  <si>
    <t>6.10.3</t>
  </si>
  <si>
    <t>6.10.4</t>
  </si>
  <si>
    <t>6.11.1</t>
  </si>
  <si>
    <t>6.11.2</t>
  </si>
  <si>
    <t>6.11.3</t>
  </si>
  <si>
    <t>6.12.1</t>
  </si>
  <si>
    <t>6.12.2</t>
  </si>
  <si>
    <t>6.12.3</t>
  </si>
  <si>
    <t>6.12.4</t>
  </si>
  <si>
    <t>6.12.5</t>
  </si>
  <si>
    <t>7.3.1</t>
  </si>
  <si>
    <t>7.3.2</t>
  </si>
  <si>
    <t>7.3.3</t>
  </si>
  <si>
    <t>7.3.4</t>
  </si>
  <si>
    <t>7.3.5</t>
  </si>
  <si>
    <t>7.3.6</t>
  </si>
  <si>
    <t>7.3.7</t>
  </si>
  <si>
    <t>7.3.8</t>
  </si>
  <si>
    <t>7.3.9</t>
  </si>
  <si>
    <t>7.4.1</t>
  </si>
  <si>
    <t>7.4.2</t>
  </si>
  <si>
    <t>7.4.3</t>
  </si>
  <si>
    <t>Numer</t>
  </si>
  <si>
    <t>Title</t>
  </si>
  <si>
    <t>Item</t>
  </si>
  <si>
    <t>2.8.1</t>
  </si>
  <si>
    <t>2.8.2</t>
  </si>
  <si>
    <t>2.8.3</t>
  </si>
  <si>
    <t>2.8.4</t>
  </si>
  <si>
    <t>2.8.5</t>
  </si>
  <si>
    <t>2.8.0</t>
  </si>
  <si>
    <t>3.0</t>
  </si>
  <si>
    <t>Disabled Spaces</t>
  </si>
  <si>
    <t>Items Fail:</t>
  </si>
  <si>
    <t>Oks</t>
  </si>
  <si>
    <t>#</t>
  </si>
  <si>
    <t>4.4.0</t>
  </si>
  <si>
    <t>Signage</t>
  </si>
  <si>
    <t>4.7.0</t>
  </si>
  <si>
    <t>Identification of Vacant Parking Spaces</t>
  </si>
  <si>
    <t>Way Finding (vehicles)</t>
  </si>
  <si>
    <t>8.1.1</t>
  </si>
  <si>
    <t>8.1.2</t>
  </si>
  <si>
    <t>8.1.3</t>
  </si>
  <si>
    <t>8.2.1</t>
  </si>
  <si>
    <t>8.2.2</t>
  </si>
  <si>
    <t>8.8.1</t>
  </si>
  <si>
    <t>8.8.2</t>
  </si>
  <si>
    <t>8.9.1</t>
  </si>
  <si>
    <t>8.9.2</t>
  </si>
  <si>
    <t>8.9.3</t>
  </si>
  <si>
    <t>8.11.1</t>
  </si>
  <si>
    <t>8.11.2</t>
  </si>
  <si>
    <t>9.2.1</t>
  </si>
  <si>
    <t>9.1.1</t>
  </si>
  <si>
    <t>9.1.2</t>
  </si>
  <si>
    <t>9.1.3</t>
  </si>
  <si>
    <t>9.2.2</t>
  </si>
  <si>
    <t>9.2.3</t>
  </si>
  <si>
    <t>9.2.4</t>
  </si>
  <si>
    <t>9.2.5</t>
  </si>
  <si>
    <t>9.3.1</t>
  </si>
  <si>
    <t>9.5.0</t>
  </si>
  <si>
    <t>9.5.1</t>
  </si>
  <si>
    <t>9.5.2</t>
  </si>
  <si>
    <t>9.3.0</t>
  </si>
  <si>
    <t>9.6.0</t>
  </si>
  <si>
    <t>9.6.1</t>
  </si>
  <si>
    <t>9.6.2</t>
  </si>
  <si>
    <t>9.6.3</t>
  </si>
  <si>
    <t>9.7.0</t>
  </si>
  <si>
    <t>9.7.1</t>
  </si>
  <si>
    <t>9.7.2</t>
  </si>
  <si>
    <t>9.2.0</t>
  </si>
  <si>
    <t>Litter Bins</t>
  </si>
  <si>
    <t>9.11.0</t>
  </si>
  <si>
    <t>9.12</t>
  </si>
  <si>
    <t>9.11</t>
  </si>
  <si>
    <t>9.11.1</t>
  </si>
  <si>
    <t>9.11.2</t>
  </si>
  <si>
    <t>10.1.0</t>
  </si>
  <si>
    <t>10.1.1</t>
  </si>
  <si>
    <t>10.1.2</t>
  </si>
  <si>
    <t>10.8.0</t>
  </si>
  <si>
    <t>10.8.1</t>
  </si>
  <si>
    <t>10.8.2</t>
  </si>
  <si>
    <t>10.8.3</t>
  </si>
  <si>
    <t>10.8.4</t>
  </si>
  <si>
    <t>10.11</t>
  </si>
  <si>
    <t>10.8.5</t>
  </si>
  <si>
    <t xml:space="preserve">Hub for shared bikes and/ or e-scooters, separated from parking area: &gt;10 units =2, 1-10 units =1, none =0 </t>
  </si>
  <si>
    <t xml:space="preserve">Charging points for light e-vehicles: &gt;10 =2, 1-10 =1, none =0,   </t>
  </si>
  <si>
    <t>Mobility Hubs</t>
  </si>
  <si>
    <t>Serviced hub with cleaning: 1 point</t>
  </si>
  <si>
    <t>10.9.0</t>
  </si>
  <si>
    <t>10.9.1</t>
  </si>
  <si>
    <t>10.9.2</t>
  </si>
  <si>
    <t>10.9.3</t>
  </si>
  <si>
    <t>10.9.4</t>
  </si>
  <si>
    <t>10.9.5</t>
  </si>
  <si>
    <t xml:space="preserve">Car sharing designated spaces  &gt;10 space = 3, 5-10 spaces =2, 1-5 spaces = 1, none =0 </t>
  </si>
  <si>
    <t>M.1.0</t>
  </si>
  <si>
    <t>M.1.1</t>
  </si>
  <si>
    <t>M.1.2</t>
  </si>
  <si>
    <t>M.1.3</t>
  </si>
  <si>
    <t>M.1.4</t>
  </si>
  <si>
    <t>M.1.5</t>
  </si>
  <si>
    <t>M.2.0</t>
  </si>
  <si>
    <t>M.2.1</t>
  </si>
  <si>
    <t>M.2.2</t>
  </si>
  <si>
    <t>M.2.3</t>
  </si>
  <si>
    <t>M.2.4</t>
  </si>
  <si>
    <t>M.2.5</t>
  </si>
  <si>
    <t>M.3.0</t>
  </si>
  <si>
    <t>M.3.1</t>
  </si>
  <si>
    <t>M.3.2</t>
  </si>
  <si>
    <t>M.3.3</t>
  </si>
  <si>
    <t>M.3.4</t>
  </si>
  <si>
    <t>Horizontal markings (Yes= -2, No= 0)</t>
  </si>
  <si>
    <t>M.4.0</t>
  </si>
  <si>
    <t>M.4.1</t>
  </si>
  <si>
    <t>M.4.2</t>
  </si>
  <si>
    <t>M.4.3</t>
  </si>
  <si>
    <t>M.5.0</t>
  </si>
  <si>
    <t>M.5.1</t>
  </si>
  <si>
    <t>M.5.2</t>
  </si>
  <si>
    <t>M.5.3</t>
  </si>
  <si>
    <t>M.6.1</t>
  </si>
  <si>
    <t>M.7.1</t>
  </si>
  <si>
    <t>M.8.1</t>
  </si>
  <si>
    <t>B.1.0</t>
  </si>
  <si>
    <t>B.1.1</t>
  </si>
  <si>
    <t>B.1.2</t>
  </si>
  <si>
    <t>B.1.3</t>
  </si>
  <si>
    <t>B.1.4</t>
  </si>
  <si>
    <t>B.1.5</t>
  </si>
  <si>
    <t>B.1.6</t>
  </si>
  <si>
    <t>B.1.7</t>
  </si>
  <si>
    <t>B.1.8</t>
  </si>
  <si>
    <t>B.1.9</t>
  </si>
  <si>
    <t>B.1.10</t>
  </si>
  <si>
    <t>B.1.11</t>
  </si>
  <si>
    <t>B.2.1</t>
  </si>
  <si>
    <t>B.3.1</t>
  </si>
  <si>
    <t>B.4.1</t>
  </si>
  <si>
    <t>B.5.1</t>
  </si>
  <si>
    <t>B.6.1</t>
  </si>
  <si>
    <t>B.7.1</t>
  </si>
  <si>
    <t>B.8.1</t>
  </si>
  <si>
    <t>B.9.1</t>
  </si>
  <si>
    <t>B.10.1</t>
  </si>
  <si>
    <t>B.11.1</t>
  </si>
  <si>
    <t>Is daily, monthly and anually energy use displayed at the pedestrian area? Yes=1, no=0</t>
  </si>
  <si>
    <t>B.12.1</t>
  </si>
  <si>
    <t>B.13.1</t>
  </si>
  <si>
    <t>B.8</t>
  </si>
  <si>
    <t>B.9</t>
  </si>
  <si>
    <t>B.10</t>
  </si>
  <si>
    <t>B.11</t>
  </si>
  <si>
    <t>B.12</t>
  </si>
  <si>
    <t>B.13</t>
  </si>
  <si>
    <t>G.1</t>
  </si>
  <si>
    <t>G.2</t>
  </si>
  <si>
    <t>G.3</t>
  </si>
  <si>
    <t>8.8.3</t>
  </si>
  <si>
    <t>City plan at a central location in car park:
(On Every pedestrian exit = 2, One location = 1, No = 0)</t>
  </si>
  <si>
    <t>Accepts National Bank Cards? (yes=1, no=0)</t>
  </si>
  <si>
    <t>Accepts International Debit and Credit Cards (yes=1, no=0)</t>
  </si>
  <si>
    <t>Payment by Smartphone?  (yes =1, no =0)</t>
  </si>
  <si>
    <t>Accept Other Payment Schemes ? How many? (1 point per additional option up to 3)</t>
  </si>
  <si>
    <t xml:space="preserve">Bikes share access through parking floor/ car zone: 1 point less </t>
  </si>
  <si>
    <t>Car park headroom limit identified at entrance (yes=1, no=0)</t>
  </si>
  <si>
    <t>Correct sign at entrance (yes=1, no=0)</t>
  </si>
  <si>
    <t>Height barrier (yes=1, no=0)</t>
  </si>
  <si>
    <t>Rubber lip to prevent damage (yes=1, no=0)</t>
  </si>
  <si>
    <t>Traffic signs to define limitations in use of facility.
• Clear signing = 3
• Incomplete signing = 2
• No signing = 0</t>
  </si>
  <si>
    <t>Operators terms &amp; conditions within the car park</t>
  </si>
  <si>
    <t>Daily opening hours</t>
  </si>
  <si>
    <t>Scale of tariffs</t>
  </si>
  <si>
    <t>Readibility of tariff system</t>
  </si>
  <si>
    <t>Is this a single car with no ramps?</t>
  </si>
  <si>
    <t>5.0</t>
  </si>
  <si>
    <t>Guidance to Car Park in Navigation Apps (yes = 2, no= 0)</t>
  </si>
  <si>
    <t>9.1.0</t>
  </si>
  <si>
    <t>9.3.2</t>
  </si>
  <si>
    <t>9.3.3</t>
  </si>
  <si>
    <t>9.3.4</t>
  </si>
  <si>
    <t>9.3.5</t>
  </si>
  <si>
    <t>9.3.6</t>
  </si>
  <si>
    <t>Opening barrier at entry automatically starts  ticketless parking transaction with automatic payment: Remote control by app, attached to bank account Yes=1, no=0    Based on ANPR attached to bank account Yes=1 additional</t>
  </si>
  <si>
    <t>9.6.4</t>
  </si>
  <si>
    <t>9.8.0</t>
  </si>
  <si>
    <t>9.8.1</t>
  </si>
  <si>
    <t>9.8.2</t>
  </si>
  <si>
    <t>9.8.3</t>
  </si>
  <si>
    <t>9.12.0</t>
  </si>
  <si>
    <t>9.12.1</t>
  </si>
  <si>
    <t>9.12.2</t>
  </si>
  <si>
    <t>9.13</t>
  </si>
  <si>
    <t>.</t>
  </si>
  <si>
    <t xml:space="preserve"> &lt; 3 m</t>
  </si>
  <si>
    <t xml:space="preserve"> &gt; 3.3m</t>
  </si>
  <si>
    <t>Good Quality</t>
  </si>
  <si>
    <t>Basic Quality</t>
  </si>
  <si>
    <t>Boa Qualidade</t>
  </si>
  <si>
    <t>Qualidade Básica</t>
  </si>
  <si>
    <t>No Protection</t>
  </si>
  <si>
    <t>No Kerbs</t>
  </si>
  <si>
    <t>Sem Proteção</t>
  </si>
  <si>
    <t>Sem Lancil</t>
  </si>
  <si>
    <t>Less than 10%</t>
  </si>
  <si>
    <t>more than 15%</t>
  </si>
  <si>
    <t>Less than 3m</t>
  </si>
  <si>
    <t>Less than 9m</t>
  </si>
  <si>
    <t>More than 10m</t>
  </si>
  <si>
    <t>Less than 7.5 m</t>
  </si>
  <si>
    <t>7.5 m to 9 m</t>
  </si>
  <si>
    <t>More than 9 m</t>
  </si>
  <si>
    <t>Less than 5%</t>
  </si>
  <si>
    <t>5% to 7%</t>
  </si>
  <si>
    <t>More than 7%</t>
  </si>
  <si>
    <t>No Gradient</t>
  </si>
  <si>
    <t>Less than 2.00m</t>
  </si>
  <si>
    <t>More than 2.20m</t>
  </si>
  <si>
    <t>Elevator control buttons at wheelchair height
•  Yes = 1, No = 0</t>
  </si>
  <si>
    <t>Less than 90 cm</t>
  </si>
  <si>
    <t>More than 90 cm</t>
  </si>
  <si>
    <t>Less than 1.5 m</t>
  </si>
  <si>
    <t>More than 1.5 m</t>
  </si>
  <si>
    <t>Ramps: Yes = 1, No = 0</t>
  </si>
  <si>
    <t>Less than 15 cm 15 cm</t>
  </si>
  <si>
    <t>More than 15 cm or no protection</t>
  </si>
  <si>
    <t>Available Spaces</t>
  </si>
  <si>
    <t>Full/Free</t>
  </si>
  <si>
    <t>On every pedestrian exit</t>
  </si>
  <si>
    <t>One Location</t>
  </si>
  <si>
    <t>ANPR attached to bank account</t>
  </si>
  <si>
    <t>Less than 1 for every 50 spaces</t>
  </si>
  <si>
    <t>More than 1 for every 50 spaces</t>
  </si>
  <si>
    <t>Irrelevant (Below Ground)</t>
  </si>
  <si>
    <t>More than 10%</t>
  </si>
  <si>
    <t>Between 5% and 10%</t>
  </si>
  <si>
    <t>Between 2% and 5%</t>
  </si>
  <si>
    <t>Less than 2%</t>
  </si>
  <si>
    <t>Less than 4kW</t>
  </si>
  <si>
    <t>Between 4kW and 10kW</t>
  </si>
  <si>
    <t>Between 10kW and 20kW</t>
  </si>
  <si>
    <t>More than 20kW</t>
  </si>
  <si>
    <t>More than 50kW</t>
  </si>
  <si>
    <t>Less than 50kW</t>
  </si>
  <si>
    <t>Between 50kW and 100kW</t>
  </si>
  <si>
    <t>Between 100kW and 200kW</t>
  </si>
  <si>
    <t>More than 200kW</t>
  </si>
  <si>
    <t>More than 10 spaces</t>
  </si>
  <si>
    <t>From 5 to 10 spaces</t>
  </si>
  <si>
    <t>From 1 to 5 spaces</t>
  </si>
  <si>
    <t>More than 10</t>
  </si>
  <si>
    <t>From 1 to 10</t>
  </si>
  <si>
    <t>Departure Times Displayed</t>
  </si>
  <si>
    <t>Lockable pedestrian exit/entry (after opening hours).
(Door/gate/rolling shutter &lt;= 15cm maximum aperture = 2, over 15 cm = 0, no provisions = 0, Irrelevant (24 hours opening) = 4)</t>
  </si>
  <si>
    <t>9.5.0.0</t>
  </si>
  <si>
    <t>Pay points</t>
  </si>
  <si>
    <t>Protection at pillars to avoid car damage: good quality=2, basic quality=1, none=0, irrelevant=2)</t>
  </si>
  <si>
    <t>Please choose width. &lt; 3m=0, 3-3.3m=1, &gt;3.3m=3, no ramps=3</t>
  </si>
  <si>
    <t>5.3.3.Alt</t>
  </si>
  <si>
    <t>Please choose width. &lt; 4m=0, 4-4.3m=1, &gt;4.3m=3, no ramps=3</t>
  </si>
  <si>
    <t>Less than 4m</t>
  </si>
  <si>
    <t>More than 4.3 m</t>
  </si>
  <si>
    <t>More than 3.3 m</t>
  </si>
  <si>
    <t>Is a sustainability plan (including an end of life recycling strategy) in place and implemented? Yes=1, no=0</t>
  </si>
  <si>
    <t>Questions</t>
  </si>
  <si>
    <t>Answers</t>
  </si>
  <si>
    <t>Question 5.3</t>
  </si>
  <si>
    <t>-</t>
  </si>
  <si>
    <t>70% van de parkeervakken moet minstens 2.30m breed zijn. Voor gerenoveerde garages, ouder dan tien jaar is een minimum breedte van 2.25m toegestaan. In dergelijke gevallen worden vijf punten in mindering gebracht, bij Malus-8</t>
  </si>
  <si>
    <t>Bij de kassier; op toonbankhoogte
• &gt; 200 Lux =4;
• 100-200  Lux = 0,04punt per Lux boven 100;
• &lt; 100 Lux= 0;
• Geen kassier  = 3 (0 invullen)</t>
  </si>
  <si>
    <t>Lichtiniveau op vloerhoogte, gemiddelde van de metingen volgens onderstaand stramien:
• &gt; 100 Lux= 10; 
• 20-100  Lux = 0,125punt per Lux boven 20;
• &lt; 20 Lux= 0</t>
  </si>
  <si>
    <t>Gelijkmatigheid van verlichtingsniveau in  stramien als berekende standaard deviatie: 
• &lt; 25% van het gemiddelde = 10; 
• 25%-50% = 0,04punt per % onder 50%;
• &gt; 50% = 0;</t>
  </si>
  <si>
    <t>Overzijde rand rijbaan/begin parkeervak, onder/tussen verlichtlingsarmatuur</t>
  </si>
  <si>
    <t>Inrijhoogte aangegeven bij de inrit (ja=1, nee=0)</t>
  </si>
  <si>
    <t>Bord overeenkomstig RVV (ja=1, nee=0)</t>
  </si>
  <si>
    <t>Hoogtebalk (ja=1, nee=0)</t>
  </si>
  <si>
    <t>Rubber strip onderzijde hoogtebalk (ja=1, nee=0)</t>
  </si>
  <si>
    <t>Stoeprand van eilanden met schuine kant ter bescherming van banden en velgen (ja=2, geen bescherming=0, geen stoeprand in in-en uitrit+2)</t>
  </si>
  <si>
    <t>uitrij slagboom/hek opent automatisch, op kentekenherkenning als bij betaalautomaat is afgerekend (ja=2, nee=0)</t>
  </si>
  <si>
    <t>Uitrithelling eindigt minstens vijf meter voor kruisend verkeer (fietsers, voetgangers): (ja=1, nee=0)</t>
  </si>
  <si>
    <t xml:space="preserve">Bebording </t>
  </si>
  <si>
    <t>Bebording voor routing autoverkeer:</t>
  </si>
  <si>
    <t xml:space="preserve">Invalidenplaatsen </t>
  </si>
  <si>
    <t>Beschikbaarheid van invalidenplaatsen in de garage aangekondigd bij de inrit?</t>
  </si>
  <si>
    <t>Vakken minimaal 3,5 m breed?</t>
  </si>
  <si>
    <t>Vakbreedte (85 % van de vakken), situatie A of B:
A: Parkeerhoek 76 – 90 graden
• breedte 2.25m = -5, 2.30m = 0, 2.35m = 2, 2.40m = 4, 2.45m = 6, 2.50m = 8.
B: Parkeerhoek  45-75 graden
• breedte 2.25m = -5, 2.30m = 1, 2.35m = 3, 2.40m = 5, 2.45m = 8
Breedte 2.25m alleen toelaatbaar bij gerenoveerde garages, bij nieuwe garages geldt de minimum vakbreedte 2.30m</t>
  </si>
  <si>
    <t>Stoeprand met schuine kant ter bescherming van banden en velgen 
• Ja = 2, geen schuine kant =  0, geen stoepranden op parkeervloer =2</t>
  </si>
  <si>
    <t>Kies breedte van de rechte hellingbaan: &lt; 3m=0, 3-3,3m=1, &gt;3,3m=2, geen hellingbaan=3</t>
  </si>
  <si>
    <t>Kies breedte van de gebogen hellingbaan: &lt; 4m=0, 4-4,3m=1, &gt;4,3m=2, geen hellingbaan=3</t>
  </si>
  <si>
    <t>Straal buitenkant aanrijbocht naar een rechte hellingbaan:
• &lt;7,5m =0,  7,5 – 9m =1, &gt; 9m  = 2</t>
  </si>
  <si>
    <t>Hoogte voor voetgangers op de looproutes op de parkeervloer (excl. Deuren)
• &lt; 2,00 m = 0
• 2,00 – 2,10 m = 1
• 2,10 – 2,20 m = 2
• &gt; 2,20 m = 3</t>
  </si>
  <si>
    <t>Zicht vanuit lift naar hal of parkeervloeren
• Geen zicht vanuit de lift = 0;
• Deur met glas/glazen wand = 3; 
• Geen lift = 0</t>
  </si>
  <si>
    <t>in de lift: (ja=1, nee=0)</t>
  </si>
  <si>
    <t>In de lifthal: (ja=1, nee=0)</t>
  </si>
  <si>
    <t>nooddeur standaard open of open verbinding = 2, nee =0</t>
  </si>
  <si>
    <t>Duidelijk overzicht, geen dode hoeken
• Ja = 1, Nee = 0, Irrelevant = 1</t>
  </si>
  <si>
    <t>Indicatie van de verdieping
• Ja = 1, Nee = 0, Irrelevant = 1</t>
  </si>
  <si>
    <t>Trappen incl. veiligheid:</t>
  </si>
  <si>
    <t>Afsluitbare voetgangerstoegang buiten openingtijd
• Rolhek of deur met openingen &lt; 15cm = 2
• Rolhek of deur met grotere openingen= 0
• Geen afsluiting= 0
• Irrelevant (24 uur  opening) = 4</t>
  </si>
  <si>
    <t>Roosters in externe openingen &amp; afsluithekken
• &lt;= 15 cm = 2, &gt; 15 cm of geen rooster= 0, irrelevant (geen externe openingen)=2</t>
  </si>
  <si>
    <t>Weergave vrije plaatsen binnen de garage</t>
  </si>
  <si>
    <t>Dynamische aanduiding vol/vrij of plaatsen, extra:
• aantal beschikbare plaatsen = 2, vol/vrij = 1, Nee = 0</t>
  </si>
  <si>
    <t>Geleiding naar de garage in navigatie-apps
• Ja = 2, Nee = 0</t>
  </si>
  <si>
    <t>Aanduiding aantal beschikbare plaatsen = 2, vol/vrij = 1, Nee = 0</t>
  </si>
  <si>
    <t>Cash:  Ja =1, nee =0</t>
  </si>
  <si>
    <t>PIN-pas, Maestro:  Ja =1, nee =0</t>
  </si>
  <si>
    <t>Credit cards:  Ja =1, nee =0</t>
  </si>
  <si>
    <t>smartphone-apps:  Ja =1, nee =0</t>
  </si>
  <si>
    <t>Betaalmogelijkheden aan de uitrit:</t>
  </si>
  <si>
    <t>Kentekenherkenning met app: Ja =1, nee =0</t>
  </si>
  <si>
    <t>RFID-herkenning met automatische afrekening: Ja =1, nee =0</t>
  </si>
  <si>
    <t>landelijk systeem voor tolwegen of openbaar vervoer :  Ja =1, nee =0</t>
  </si>
  <si>
    <t>Bij inrijden wordt ticket aan kenteken gekoppeld: na betaling aan automaat opent aan de uitrit  de slagboom automatisch: Ja =1, nee =0. automatisch kenetkenherkenning met koppeling bankrekening: 1 punt extra.</t>
  </si>
  <si>
    <t>Betaalpunten</t>
  </si>
  <si>
    <t>Afvalbakken</t>
  </si>
  <si>
    <t>Afvalbakken bij voetgangersentree /trappenhuis: Ja =1, nee =0</t>
  </si>
  <si>
    <t>Afleverpunt/lockers voor on-line bestellingen: Ja =1, nee =0</t>
  </si>
  <si>
    <t>Oplaadpunten voor elektrische auto's</t>
  </si>
  <si>
    <t>10% of meer van de plaatsen voorzien van een e-laadpunt = 4, 5%-10% van de plaatsen = 3, 2%-5% van de plaatsen = 2, &lt; 2% van de plaatsen=1, Geen=0</t>
  </si>
  <si>
    <t>Gemiddelde capaciteit per laadpunt &lt;4kW=0, 4-10kW=1, 10-20kW=2, &gt;20kW=3. Fast chargers &gt;50kW= 1 extra punt</t>
  </si>
  <si>
    <t xml:space="preserve">Totaal laadcapaciteit per 100 plaatsen &lt;50kW=0, 50-100kW=1, 100-200kW=2, &gt;200 kW=3 </t>
  </si>
  <si>
    <t>Laadpunten geconcentreerd rond de inrit voor veilige brandweertoegang
• Ja=1, Nee=0</t>
  </si>
  <si>
    <t>reservering van laadpunt onderdeel van reserveringssysteem
• Ja=1, Nee=0</t>
  </si>
  <si>
    <t>Mobiliteitshubs</t>
  </si>
  <si>
    <t xml:space="preserve">Gereserveerde plaatsen voor deelauto's: &gt;10 plaatsen = 3, 5-10 plaatsen =2, 1-5 plaatsen = 1, geen =0 </t>
  </si>
  <si>
    <t>Schoonmaakservice voor deelauto's: 1 punt extra</t>
  </si>
  <si>
    <t>Ruimte voor deelfietsen en/of deelscooters, gescheiden van parkeervloer: &gt;10 stuks=2, 1-10 stuks =1, geen=0</t>
  </si>
  <si>
    <t>Laadpunten voor e-fietsen of e-scooters: &gt;10 =2, 1-10 =1, geen =0,</t>
  </si>
  <si>
    <t>Toegang voor deelfietsen via parkeervloer: 1 punt in mindering</t>
  </si>
  <si>
    <t xml:space="preserve">Nieuwe garage gebouwd volgens recycling richtlijnen:
• Ja=1, Nee=0 </t>
  </si>
  <si>
    <t xml:space="preserve">Andere maatregelen ter bescherming milieu:
• Ja=2, Nee=0 </t>
  </si>
  <si>
    <t xml:space="preserve">Slechte kwaliteit/achterstallig onderhoud, (gaten cq beschadigingen) </t>
  </si>
  <si>
    <t>Data-uitwisseling met derden, gebruik van APDS-standaard:
• Ja= 1, Nee= 0</t>
  </si>
  <si>
    <t>Slagboomloos parkeren met kentekenherkenning: 1 punt extra</t>
  </si>
  <si>
    <t>P&amp;R met openbaar vervoer knooppunt bij voetgangersuitgang (Ja= 1, Nee= 0), Scherm met actuele vertrektijden openbaar vervoer in de garage: 1 punt extra</t>
  </si>
  <si>
    <t>Ondersteuning voor zelfrijdende auto's in afgeschermd deel van de garage: ja=5, nee=0</t>
  </si>
  <si>
    <t>Overige positieve punten (bijv extra service, vriendelijk personeel, inpassing van de garage in de omgeving): specificeren, tot 10 punten</t>
  </si>
  <si>
    <t xml:space="preserve">Is een meerjaren onderhoudsplan voor het gebouw van toepassing? Ja=1, nee=0 </t>
  </si>
  <si>
    <t>Worden materialen hergebruikt bij einde levensduur? Ja=1, nee=0</t>
  </si>
  <si>
    <t>Wordt dagelijks, maandelijks en jaarlijks energieverbruik weergegeven in de voetgangersruimte? Ja=1, nee=0</t>
  </si>
  <si>
    <t>Gold award</t>
  </si>
  <si>
    <t>Minimum doorrijhoogte in algemene ruimtes = 2,00 m, incidentele lagere obstakels moeten duidelijk gemarkeerd zijn.</t>
  </si>
  <si>
    <t>70% van de parkeervakken minimaal 2,40 m breed</t>
  </si>
  <si>
    <t>Gemiddeld verlichtingsniveau op de parkeervloer minimaal 50 Lux.</t>
  </si>
  <si>
    <t>Algemene waardering, Gold Award</t>
  </si>
  <si>
    <t>Goede bescherming</t>
  </si>
  <si>
    <t>Matige bescherming</t>
  </si>
  <si>
    <t>Irrelevant, kolom buiten parkeervak</t>
  </si>
  <si>
    <t>Schuine zijkanten</t>
  </si>
  <si>
    <t>Rechte zijkanten</t>
  </si>
  <si>
    <t>Geen verhogingen</t>
  </si>
  <si>
    <t>geen hellingen</t>
  </si>
  <si>
    <t>7,5m - 9m</t>
  </si>
  <si>
    <t>aantal beschikbare plaatsen</t>
  </si>
  <si>
    <t>Vol/Vrij signalering</t>
  </si>
  <si>
    <t>Bij elke voetgangersuitgang</t>
  </si>
  <si>
    <t>Op een lokatie</t>
  </si>
  <si>
    <t>Kentekenherkenning met koppeling betaalrekening</t>
  </si>
  <si>
    <t>Irrelevant (ondergronds of dichte wanden)</t>
  </si>
  <si>
    <t xml:space="preserve"> 5 - 10% van de plaatsen</t>
  </si>
  <si>
    <t>2 - 5% van de plaatsen</t>
  </si>
  <si>
    <t>niet aanwezig</t>
  </si>
  <si>
    <t>4 - 10kW</t>
  </si>
  <si>
    <t>10 - 20kW</t>
  </si>
  <si>
    <t>Snelladers minimaal 50kW</t>
  </si>
  <si>
    <t>50 - 100kW</t>
  </si>
  <si>
    <t>100 - 200kW</t>
  </si>
  <si>
    <t>6 - 10 plaatsen</t>
  </si>
  <si>
    <t>1 - 5 plaatsen</t>
  </si>
  <si>
    <t>1 - 10 stuks</t>
  </si>
  <si>
    <t xml:space="preserve">Actuele vertrektijden weergegeven </t>
  </si>
  <si>
    <t>Hauteur minimum au plafond = 1,90m dans la majorité des espaces dédiés au public; Les quelques éventuels passages plus bas doivent être clairement signalés.</t>
  </si>
  <si>
    <t>Il doit y avoir au minimum une voie d'entrée et une voie de sortie, une troisième voie bidirectionnelle (alternative) est autorisé.</t>
  </si>
  <si>
    <t>70% des emplacements doivent faire au moins 2,30m de large.
Pour des parkings rénovés de plus de 10 ans, une largeur minimum de 2,25m est tolérée (dans ce cas,une pénalité de 5 points est appliquée au point M8 (Malus)</t>
  </si>
  <si>
    <t>Toutes les rampes droites à traffic unidirectionnel doivent faire minimum 2,70m de large.
En cas de rampes bidirectionnelles, celles-ci doivent faire minimum 6m de large avec marquage des voies.</t>
  </si>
  <si>
    <t>L'inclinaison de la rampe ne peut excéder 20%. Elle doit être mesurée au centre de la voie de circulation. Pour les rampes courbes bidirectionnelles, ceci s'applique à la voie intérieure la plus abrupte.</t>
  </si>
  <si>
    <t>Si le parking est payant et dispose d'un contrôle d'accès par barrières ou portails, un personnel de service doit pouvoir être contacté aux bornes de paiement, aux bornes de sorties et aux entrées piétons sécurisées.</t>
  </si>
  <si>
    <t>Toutes les manoeuvres du véhicule doivent pouvoir être effectuées sans devoir effectuer une marche arrière (exception faite pour se garer ou sortir d'un emplacement ainsi que des culs-de-sac).</t>
  </si>
  <si>
    <t>La moyenne de luminosité des emplacements au niveau du sol doit être de 20 lux.</t>
  </si>
  <si>
    <t>Aire d'entrée des véhicules, mesures effectuées au niveau du sol
•  Plus de 200 Lux = 5;
•  Entre  75 et 200 Lux: 0,04 pt par Lux au-delà de 75  
•  Moins de 75 Lux = 0</t>
  </si>
  <si>
    <t>Entrée: à 1 m de hauteur près de la borne d'entrée (tickets)
•  Plus de 200 Lux = 3;
•  Entre 100 et 200 Lux: 0,03 pt par Lux au-delà de 100
•  Moins 100 Lux = 0</t>
  </si>
  <si>
    <t>Sortie: à 1 m de hauteur près de la borne de sortie (tickets)
•  Plus de 200 Lux = 3;
•  Entre 100 et 200 Lux: 0,03 pt par Lux au-delà de 100
•  Moins 100 Lux = 0</t>
  </si>
  <si>
    <t>Bornes de paiement:  à 1 m de hauteur
•  Plus de 200 Lux =4;
•  Entre 100 et 200 Lux: 0,04 pt par Lux au-delà de 100
•  Moins de 100 Lux= 0;
•  Si pas de bornes de paiement : idem qu'en sortie (entrer zéro si tel est le cas)</t>
  </si>
  <si>
    <t>Auprès du caissier: à hauteur du comptoir
•  Plus de 200 Lux =4;
•  Entre 100 et 200 Lux: 0,04 pt par Lux au-delà de 100
•  Moins de 100 Lux= 0;
•  Pas de caissier = 3 (entrer zéro si tel est le cas)</t>
  </si>
  <si>
    <t>Ascenseurs: au niveau du sol
•  Plus de 70 Lux = 4;
•  Entre 30 – 70 Lux: 0,1 pt par Lux au-delà de 30
•  Moins de 30 Lux = 0;
•  Pas d'ascenseur, parking sur un seul niveau = 3 (enrter zéro si tel est le cas)</t>
  </si>
  <si>
    <t>Cages d'escalier et tout autre cheminement exclusivement réservé aux piétons: au niveau du sol.
•  Plus de 90 Lux = 3;
•  Entre 30 et 90 Lux: 0,05 pt par Lux au-delà de 30
•  Moins de 30 Lux = 0</t>
  </si>
  <si>
    <t>Eclairage des aires de stationnement: au niveau du sol (remplissez la grille ci-dessous svp).
Moyenne des mesures reprises dans la grille:
•  Plus de 100 Lux= 10;
•  Entre 20 et 100 Lux: 0,125 pt par Lux au-delà de 20 
•  Moins de 20 Lux= 0</t>
  </si>
  <si>
    <t>Uniformité de l'éclairage selon les mesures reprises dans la grille:
•  Moins de 25% du niveau de luminosité moyen = 10;
•  Entre 25 et  50%: 0,4 pt par % en-dessous de 50%
•  Moins de 50% =  0</t>
  </si>
  <si>
    <t>Fond aire de stationnement (sous/entre points lumineux)</t>
  </si>
  <si>
    <t>Milieu aire de stationnement (sous/entre points lumineux)</t>
  </si>
  <si>
    <t>Début aire de stationnement (sous/entre points lumineux)</t>
  </si>
  <si>
    <t>Centre de la voie de circulation (sous/entre points lumineux)</t>
  </si>
  <si>
    <t>Voie de circulation (ou début aire stationnement) du côté opposé à l'aire de stationnement (sous/entre points lumineux)</t>
  </si>
  <si>
    <t>Entrée/Sorties des véhicules</t>
  </si>
  <si>
    <t>Liste des points</t>
  </si>
  <si>
    <t>Limite d'hauteur de plafond annoncée à l'entrée du parking (oui =1,non=0)</t>
  </si>
  <si>
    <t>Signalisation correcte à l'entrée (Oui=1,Non=0)</t>
  </si>
  <si>
    <t>Barre d'hauteur (oui=1,Non=0)</t>
  </si>
  <si>
    <t>Rebord caoutchouc sous barre pour prévenir dommages aux toits (oui=1,Non=0)</t>
  </si>
  <si>
    <t>Hauteur
(Le parking reçoit 1 point par tranche de 10cm au-delà de 1,90m jusqu'à 2,20m)</t>
  </si>
  <si>
    <t>Panneaux de signalisation stipulant les limites concernant le parking
• Signalisation claire = 3
• Signalisation incomplète = 2
• Pas de signalisation = 0</t>
  </si>
  <si>
    <t>Heures d'ouverture</t>
  </si>
  <si>
    <t>Conception des zones d'entrée et de sortie</t>
  </si>
  <si>
    <t>Pente longitudinale de la voie au niveau des bornes de tickets</t>
  </si>
  <si>
    <t>Voie d'entrée:
• 0-2% (le véhicule ne bouge pas sans poser le pied sur le frein) = 1
• 2-5% = 0
• Plus de 5% = -1</t>
  </si>
  <si>
    <t>Voie de sortie:
• 0-2% (le véhicule ne bouge pas sans poser le pied sur le frein) = 1
• 2-5% = 0
• Plus de 5% = -1</t>
  </si>
  <si>
    <t>Forme spécifique des bordures pour éviter tout domage aux jantes:
(Oui=2, Pas de protection=0,Pas de bordures dans la zone d'entrée=2)</t>
  </si>
  <si>
    <t>Surface anti-dérapante dans les rampes d'entrée/sortie:
(Anti-dérapant=1,Glissant si mouillé=0)</t>
  </si>
  <si>
    <t>Reconnaissance plaques d'immatriculation</t>
  </si>
  <si>
    <t>Grilles de fermeture sur la totalité de la hauteur</t>
  </si>
  <si>
    <t>Si ticket payé à la caisse, ouverture automatique des barrières de sortie sur base de ANPR (reconnaissance plaque) : Oui=2, Non=1</t>
  </si>
  <si>
    <t>Entrée/Sortie du bâtiment: largeur entre les équipements (par voie)
(&lt; 3 m =0, 3 – 3.3 m =1, &gt; 3.3 m = 2)</t>
  </si>
  <si>
    <t>Sortie: la pente de sortie s'arrête au plus tard 5m avant le croisement avec le traffic (piétons/cyclistes)</t>
  </si>
  <si>
    <t xml:space="preserve">Présence de piliers ( pour au moins 85% des emplacements):
• n'empiètent pas sur l'aire de stationnement = 8 
• au début de l'aire de stationnement = 0
• près de la portière de voiture = 0
• au fond de l'emplacement mais n'empiète pas sur celui-ci = 4 </t>
  </si>
  <si>
    <t>Protection des piliers pour éviter des dommages aux carosseries: Qualité supérieure=2,Qualité satisfaisante=1,Absent=0, Sans rapport=2</t>
  </si>
  <si>
    <t>Visibilité (beaucoup/peu d'angles morts, de murs dans le parking,etc..)
Bien=4, Moyen=2 ou Mauvais=0</t>
  </si>
  <si>
    <t>Signalisation</t>
  </si>
  <si>
    <t>Signalisation directionnelle: est-elle claire,complète,non équivoque</t>
  </si>
  <si>
    <t>Complète</t>
  </si>
  <si>
    <t>Facile à voir</t>
  </si>
  <si>
    <t>Sans équivoque</t>
  </si>
  <si>
    <t>Emplacements pour personnes à mobilité réduite</t>
  </si>
  <si>
    <t>Accessibles en chaise roulantes</t>
  </si>
  <si>
    <t>Largeur des emplacements minimum 3,50m</t>
  </si>
  <si>
    <t>Près des sorties piétonnes</t>
  </si>
  <si>
    <t>Guidage vers les emplacements pour personnes à mobilité réduite</t>
  </si>
  <si>
    <t>Angles des emplacements (pour au moins 85% des emplacements):
(Angle 76-90° = 0, Angle  45-75° = 2)</t>
  </si>
  <si>
    <t>Métrage total de la distance constitué par la longeur de deux emplacements et de la largeur de la voie de circulation entre les deux (en fonction de l'angle et de la largeur des emplacements)
Largeur   :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Un métrage total égal aux cotes ci-dessus donne droit à 3 points. 
Jusqu'à 30 cm en-dessous des cotes donne droit à 2 points
Jusqu'à 60 cm en-dessous des cotes donne droit à 1 point
Plus de 60 cm en-dessous: pas de points attribués</t>
  </si>
  <si>
    <t>Bordures conçues pour éviter des dommages aux jantes
Oui=2,Pas de protection/conception=0,Pas de bordures=2</t>
  </si>
  <si>
    <t>S'agit-il d'un parking d'un seul niveau sans rampes?</t>
  </si>
  <si>
    <t>Surface des rampes entre les étages de stationnement 
(Anti-dérapant=1, Lisse=0, Pas de rampes=1)</t>
  </si>
  <si>
    <t>Inclinaison longitudinale des rampes de connexion (non utilisée pour du stationnement)
•  &lt;10%=3, 10-15%=1, &gt;15%=0, pas de rampes=3</t>
  </si>
  <si>
    <t>Les rampes courbes doivent être 1m plus large pour obtenir le même score. Les rampes sont-elles courbes?</t>
  </si>
  <si>
    <t>Saisissez en fonction de. &lt; 3m=0, 3-3.3m=1, &gt;3.3m=3, pas de rampes=3</t>
  </si>
  <si>
    <t>Saississez en fonction de; &lt; 4m=0, 4-4.3m=1, &gt;4.3m=3, pas de rampes=3</t>
  </si>
  <si>
    <t>Rayon de courbure des rampes courbes (radius externe)
•  jusqu'à 9m=0, 9 –10 m=1, &gt;10m=2, pas de rampes=2
Pour une rampe à double sens,cette mesure se réfère à la voie intérieure.</t>
  </si>
  <si>
    <t>Courbe d'approche vers une rampe droite
•  &lt;7.5m=0, 7.5 –9m=1, &gt;9m=2, pas de rampes=2</t>
  </si>
  <si>
    <t>Inclinaison longitudinales pour rampe pourvue de places de stationnement
•  &lt;5%=3, 5-7 =1, &gt;7%=0, pas de places de stationnement=3</t>
  </si>
  <si>
    <t>Est-ce un parking sur un seul niveau en rez-de chaussée (non clôturé)?</t>
  </si>
  <si>
    <t>Les ascenseurs déservent-ils le niveau rez-de-chaussée?</t>
  </si>
  <si>
    <t>Les ascenseurs sont-ils le principal moyen de connexion entre les étages (les escaliers seulement en cas d'évacuation ou totalement secondaires)?</t>
  </si>
  <si>
    <t>Hauteur de plafond des zones piétonnes - portes exclues
• &lt;2.00m = 0
• 2.00m – 2.10m = 1
• 2.10m – 2.20m = 2
• &gt; 2.20m = 3</t>
  </si>
  <si>
    <t>Chemin piétons séparés (par ex. Surélevés, bandes zébrées ou de couleur,..) (Oui=2,Non=0)</t>
  </si>
  <si>
    <t>Les portes d'accès piétons sont-elles facile à utiliser?
(Oui,portes automatiques ou passage ouvert = 4, Facile à ouvrir = 2, Non=0)</t>
  </si>
  <si>
    <t>Accès piétons contrôlés par lecteurs de tickets/cartes durant les heures d'ouverture (Oui=1, Non=0)</t>
  </si>
  <si>
    <t>Nombre d'ascenseurs au niveau rez-de-chaussée:
(1 ascenseur = 1, 2 ascenseurs ou + = 5)</t>
  </si>
  <si>
    <t>Taille des ascenseurs:
(Plus de 8 personnes = 3, 4-8 personnes = 1, moins de 4 personnes = 0)</t>
  </si>
  <si>
    <t>Visibilité depuis l'ascenseur vers le hall ou le parking
(pas de visibilité depuis l'ascenseur = 0, portes/parois vitrées = 3, pas d'ascenseur= 0)</t>
  </si>
  <si>
    <t>Indication de l'étage</t>
  </si>
  <si>
    <t>Dans l'ascenseur</t>
  </si>
  <si>
    <t>Dans le hall d'ascenseur</t>
  </si>
  <si>
    <t>Les boutons de commande de l'ascenseur sont-il à hauteur d'une chaise roulante?
•  Oui = 1, Non = 0</t>
  </si>
  <si>
    <t>Portes de secours, en position ouverte (Yes=2, No= 0)</t>
  </si>
  <si>
    <t>Visibilité (Portes/Parois vitrées = 3, Pas de vitres = 0)</t>
  </si>
  <si>
    <t>Cages d'escaliers (visibilité et orientation)</t>
  </si>
  <si>
    <t>Vue dégagée (Oui = 1, Non = 0, Sans rapport = 1)</t>
  </si>
  <si>
    <t>Indication d'étage (Oui = 1, Non = 0, Sans rapport = 1)</t>
  </si>
  <si>
    <t>Main courante (Aucune =0, D'un seul côté = 1, Des deux côtés=2)</t>
  </si>
  <si>
    <t>Visibilité renforcée des marches pour personnes souffrant d'une déficience de la vue (Oui = 2, Non = 0)</t>
  </si>
  <si>
    <t>Surface anti-dérapante sur les marches: (Oui = 2, Non = 0)</t>
  </si>
  <si>
    <t>Ouvertures extérieures des cages d'escalier
(fenêtres ou grilles vers l'extérieur ou vers le parking  =2, Pas d'ouvertures =0)</t>
  </si>
  <si>
    <t>Equipement de sécurité</t>
  </si>
  <si>
    <t>Vidéosurveillance avec affichage légal à l'entrée = 3, Pas de vidéosurveillance = 0</t>
  </si>
  <si>
    <t>Sous surveillance par du personnel (sur place ou à distance)
•  Oui = 5, Non = 0</t>
  </si>
  <si>
    <t>Vidéosurveillance de:</t>
  </si>
  <si>
    <t>Entrées véhicules: Oui =1, Non =0</t>
  </si>
  <si>
    <t>Sorties véhicules: Oui =1, Non =0</t>
  </si>
  <si>
    <t>Hall d'ascenseurs,chaque étage: Oui=1, Non =0</t>
  </si>
  <si>
    <t>Cages d'escalier, chaque étage: Oui =1, Non =0</t>
  </si>
  <si>
    <t>Personnel joignable via::</t>
  </si>
  <si>
    <t>Interphonie aux bornes de paiement et/ou aux entrées sous contrôle (24H/24 7j/7=3, Durant les heures d'ouverture si pas 24h/24= 2, Partiellement ou absent = 0)</t>
  </si>
  <si>
    <t>Système d'appel d'urgence dans les aires de stationnement (24h/24 7j/7 =3, Durant les heures d'ouverture si pas 24h/24 = 2, Partiellement ou absent  = 0)</t>
  </si>
  <si>
    <t>Personnel présent reconnaissable et patrouillant dans le parking
(24h/24 7j/7 = 3, Durant les heurs d'ouverture = 2, artiellement durant les heures d'ouverture = 1, Pas de présence = 0)</t>
  </si>
  <si>
    <t>Fermeture des entrés/sorties Piétons (après les heures d'ouverture).
(Porte/portail/volet avec &lt;= 15cm d'espace maximum entre les barreaux = 2, au-delà de 15 cm = 0, Aucune disposition = 0, Pas d'application (ouverture 24h/24) = 4)</t>
  </si>
  <si>
    <t>Grilles vers ouvertures extérieures &amp; grilles de sécurité
(&lt;= 15 cm = 2, &gt; 15 cm ou pas de protection= 0, Pas d'application (pas d'ouvertures extérieures) = 2)</t>
  </si>
  <si>
    <t>Trouver son chemin dans et à l'extérieur du parking</t>
  </si>
  <si>
    <t>Par étage (oui/bon= 2, non/mauvais = 0)</t>
  </si>
  <si>
    <t>Par rangée (oui/bon= 2, non/mauvais = 0)</t>
  </si>
  <si>
    <t>Par place individuelle  (oui/bon= 2, non/mauvais = 0)</t>
  </si>
  <si>
    <t>Trouver son chemin (au volant de son véhicule)</t>
  </si>
  <si>
    <t>Les étages sont-ils clairement et séparément identifiables pour le conducteur? (Bon =3, Adequat =2, Faible =1, Non =0)</t>
  </si>
  <si>
    <t>Les sous-sections par étages sont-elles clairement identifiables pour le conducteur? (Bon =3, Adequat =2, Faible =1, Non =0)</t>
  </si>
  <si>
    <t>Les sorties de secours et les chemins d'évacuation sont-ils clairement identifiables?
• Clairement depuis tous les endroits = 3
• Depuis la plupart des endroits = 2
• Depuis certains endroits =1
• Pas de signalisation des chemins d'évacuation =0)</t>
  </si>
  <si>
    <t>Les étages sont-ils clairement identifiables?
(Bon =3, adequat=2, faible=1, non =0, parking à un seul niveau = 3)</t>
  </si>
  <si>
    <t>Y a-t-il une identification ou un marquage au sol spécifique pour aider les piétons à trouver leur chemin?
(Bon =2, Par-çi, par-là =1, Absent = 0)</t>
  </si>
  <si>
    <t>Les aires de stationnement sont-elles numérotées individuellement
(Numérotation inclus la référence de l'étage=2, Juste une numérotation =1, Absent =0)</t>
  </si>
  <si>
    <t>Signalisation en rue à l'attention des conducteurs pour trouver le chemin vers le parking</t>
  </si>
  <si>
    <t>Uniquement signalisation statique (Oui = 1, Non = 0)</t>
  </si>
  <si>
    <t>Signalisation dynamique supplémentaire (Nombre de places disponibles = 2, Libre/Complet = 1, Absent = 0)</t>
  </si>
  <si>
    <t>Signalisation lumineuse à l'entrée du parking</t>
  </si>
  <si>
    <t>Flèche verte - Croix rouge pour indiquer la direction (Oui = 1, Non = 0)</t>
  </si>
  <si>
    <t>Signalisation des entrées piétons (Oui = 1, Non = 0)</t>
  </si>
  <si>
    <t>Plan de ville à un endroit de passage:
(A chaque sortie piétons = 2, A un endroit = 1, Absent = 0)</t>
  </si>
  <si>
    <t>Guidage:</t>
  </si>
  <si>
    <t>A la sortie piétons vers les principaux points d'attraction autour du parking (Oui=1, Non=0)</t>
  </si>
  <si>
    <t>Autour du parking vers les entrées piétons (Oui=1, Non=0)</t>
  </si>
  <si>
    <t>Panneau d'affichage aux entrées/sorties piétons indiquant:</t>
  </si>
  <si>
    <t>Heures d'ouverture normale/spécifique (oui = 1, non = 0)</t>
  </si>
  <si>
    <t>Affichage du tarif lisible et compréhensible (oui = 1, non = 0)</t>
  </si>
  <si>
    <t>Règlement interne et conditions (oui = 1, non = 0)</t>
  </si>
  <si>
    <t>Moyens de paiement (paiement à la borne d'encaissement):</t>
  </si>
  <si>
    <t>Cash accepté? (oui =1, non =0)</t>
  </si>
  <si>
    <t>Carte de banque nationale acceptée? (oui=1, non=0)</t>
  </si>
  <si>
    <t>Carte de débit et de crédit internationale acceptée (oui=1, non=0)</t>
  </si>
  <si>
    <t>Paiemant par téléphone mobile?  (oui =1, non =0)</t>
  </si>
  <si>
    <t>Autres moyens de paiement acceptés ? Combien? (1 point par option additionnelle jusqu'à 3)</t>
  </si>
  <si>
    <t>Moyens de paiement (paiement à la borne de sortie):</t>
  </si>
  <si>
    <t>Cartes de banque nationale (oui =1, non =0)</t>
  </si>
  <si>
    <t>Cartes de débit et de crédit internationales (oui =1, non =0)</t>
  </si>
  <si>
    <t>Reconnaissance de plaque connectée à un compte bancaire ou un application (oui =1, non =0).</t>
  </si>
  <si>
    <t>Système RFID connecté à un compte bancaire ou un application (oui =1, non =0).</t>
  </si>
  <si>
    <t>Paiement par téléphone mobile? (oui =1, non =0)</t>
  </si>
  <si>
    <t>L'ouverture de la barrière à l'entrée lance automatiquement la transaction de stationnement sans ticket avec paiement automatique :
Contrôle via une application connectée à un compte bancaire (oui=1,non=0) - 1 point supplémentaire en cas d'utilisation d'un système de reconnaissance de plaque d'immatriculation</t>
  </si>
  <si>
    <t>Points de paiement</t>
  </si>
  <si>
    <t>Est-ce un parking sans barrières (paiement à une borne)?</t>
  </si>
  <si>
    <t>Nombre de bornes de paiement parking équipés de barrières:
(Une borne de paiement = 0,  Plus que une =1, Une à chaque entrée piéton excepté les portes de secours =2, Plus que une à chaque entrée piétons =3)</t>
  </si>
  <si>
    <t>Nombre de bornes de paiement parking sans barrières
(Une =0, &lt; 1 par 50 emplacements =2, &gt;1 par 50 emplacements =3)</t>
  </si>
  <si>
    <t>Toilettes pour personnes handicapées? (oui=1, non= 0)</t>
  </si>
  <si>
    <t>Toilettes uniques = 0, Hommes/Femmes séparés= 1</t>
  </si>
  <si>
    <t>Présence d'un(e) préposé(e) oui=1, non= 0</t>
  </si>
  <si>
    <t>Usage de couleurs / embellissements</t>
  </si>
  <si>
    <t>Piliers en couleur =1, non/béton brut = 0</t>
  </si>
  <si>
    <t>Murs en couleur =1, non/béton brut = 0</t>
  </si>
  <si>
    <t>Oeuvre d'art: (Oui = 2, Non = 0)</t>
  </si>
  <si>
    <t>Autres: (Oui= 1, Non = 0)</t>
  </si>
  <si>
    <t>Couverture téléphones portables (Oui = 2, Non = 0)</t>
  </si>
  <si>
    <t>Continuité signal radio (Oui = 1, Non = 0)</t>
  </si>
  <si>
    <t>Musique différenciée pour orientation dans parking:  Oui =1, Non = 0</t>
  </si>
  <si>
    <t>Poubelles</t>
  </si>
  <si>
    <t>Poubelles présentes aux entrées piétons/escaliers Oui =1, Non=0</t>
  </si>
  <si>
    <t>Poubelles présentes sur les aires de stationnement (&gt;1 par 100 emplacements) Oui=1, Non=0</t>
  </si>
  <si>
    <t>Point de ramassage pour les livraisons locales et en ligne : Oui=1, Non =0</t>
  </si>
  <si>
    <t>Système d'économie d'éclairage</t>
  </si>
  <si>
    <t>Compensation du facteur de puissance  (Oui=1, Non=0)</t>
  </si>
  <si>
    <t>Détection de mouvement , lumières variables, qualité luminosité maintenue (Oui= 2, Non= 0)</t>
  </si>
  <si>
    <t>Éclairage adaptable pour la compensation de la lumière du jour dans la zone d'entrée (Oui=2, Non=0)</t>
  </si>
  <si>
    <t>Éclairage adaptable au niveau du parking aux conditions de luminosité de la lumière du jour (Oui= 2, Non= 0, Pas d'application (parking sous-terrain) =2)</t>
  </si>
  <si>
    <t>Panneaux solaires sur le toit ou autres initiatives d'énergie verte (Oui= 2, Non= 0)</t>
  </si>
  <si>
    <t>Traitement spécial de l'eau de nettoyage :
•  Oui= 2, Non= 0</t>
  </si>
  <si>
    <t xml:space="preserve">Eaux grises ou réutilisation des eaux de pluie
•  Oui= 2, Non= 0
</t>
  </si>
  <si>
    <t xml:space="preserve">Bornes publiques de rechargement de voitures électriques: </t>
  </si>
  <si>
    <t>Plus de 10% des emplacements équipés de bornes de rechargement = 4, 5% à 10% des emplacements = 3, 2% à 5% des emplacements = 2, moins de 2% des emplacements=1, Aucune=0</t>
  </si>
  <si>
    <t>Capacité moyenne par borne de rechargement &lt;4kW=0, 4-10kW=1, 10-20kW=2, &gt;20kW=3. Chargeurs rapides &gt;50kW= 1 point additionnel</t>
  </si>
  <si>
    <t xml:space="preserve">Puissance totale par 100 emplacements &lt;50kW=0, 50-100kW=1, 100-200kW=2, &gt;200 kW=3 </t>
  </si>
  <si>
    <t>Bornes de rechargement concentrées près des entrées/sorties pour un accès sécurisé pour les pompiers (oui =1, non =0)</t>
  </si>
  <si>
    <t>Réservation facultative de la borne de rechargement intégrée au système de réservation:  (oui =1, non =0)</t>
  </si>
  <si>
    <t>Pôles de mobilité</t>
  </si>
  <si>
    <t xml:space="preserve">Emplacements destinés aux voitures partagées:  &gt;10 emplacements = 3, 5-10 emplacements =2, 1-5 emplacements = 1, aucun =0 </t>
  </si>
  <si>
    <t>Pôle avec service de nettoyage: 1 point</t>
  </si>
  <si>
    <t xml:space="preserve">Pôle pour vélos et/ou scooters électriques partagés, séparé des aires de stationnement.: &gt;10 unités =2, 1-10 unités =1, aucun =0 </t>
  </si>
  <si>
    <t xml:space="preserve">Bornes de rechargement pour les véhicules électriques légers
: &gt;10 =2, 1-10 =1, none =0,   </t>
  </si>
  <si>
    <t>Les vélos utilisent les mêmes chemins d'accès que les voitures (pas de chemin dédicacé séparé): 1 point en moins</t>
  </si>
  <si>
    <t>Parking construit selon les directives de recyclage (Oui =1, Non =0)</t>
  </si>
  <si>
    <t>Autres initiatives environnementales: (Oui =2, Non =0)</t>
  </si>
  <si>
    <t>Points Malus</t>
  </si>
  <si>
    <t>Présence of Graffiti</t>
  </si>
  <si>
    <t>Cages d'escalier (Oui= -2, Non= 0)</t>
  </si>
  <si>
    <t>Aires de stationnement (Oui= -2, Non= 0)</t>
  </si>
  <si>
    <t>A l'extérieur aux entrées piétons et voitures (Oui= -2, Non= 0)</t>
  </si>
  <si>
    <t>Marquage au sol (Oui= -2, Non= 0)</t>
  </si>
  <si>
    <t>Faible qualité/manque de maintenance (Nid de poule,dégâts divers)</t>
  </si>
  <si>
    <t>Traces évidentes d'eau stagnante (Oui= -2, Non= 0)</t>
  </si>
  <si>
    <t>Plus de 15% des emplacements sont en cul-de-sac sans indication de l'éventuelle occupation. (Oui= -5, Non=0)</t>
  </si>
  <si>
    <t>Autres points à critiquer (à expliquer!)
[Par ex. Bruit assourdissant,grincement de pneus,visiteurs indésirables, etc.] jusqu'à -10</t>
  </si>
  <si>
    <t>Pénalité en relation avec le point 1.4 des Conditions Minimum Obligatoires</t>
  </si>
  <si>
    <t>Points Bonus</t>
  </si>
  <si>
    <t>Aires de stationnement spécifique pour motos (Oui= 1, Non= 0)</t>
  </si>
  <si>
    <t>Consignes sécurisées pour les clients (Oui= 1, Non= 0)</t>
  </si>
  <si>
    <t>Autres aides (Oui= 1, Non= 0)</t>
  </si>
  <si>
    <t>Distributeurs de boissons, friandises (Oui= 1, Non= 0)</t>
  </si>
  <si>
    <t>Défibrilateur cardiaque (Oui= 1, Non= 0)</t>
  </si>
  <si>
    <t>Données du traffic en temps réel (Oui= 1, Non= 0)</t>
  </si>
  <si>
    <t>Données de stationnement partagées par normes APDS (Oui= 1, Non= 0)</t>
  </si>
  <si>
    <t>Autres informations accessibles en temps réel (par ex. évènements locaux,..) (Oui= 1, Non= 0)</t>
  </si>
  <si>
    <t>Mesures pour fluidifier le traffic en heure de pointe (par ex. Usage d'une voie bidirectionnelle alternative en entrée/sortie) - (Oui= 3, Non= 0)</t>
  </si>
  <si>
    <t>Possibilité de faire demi-tour pour les voitures avant la barrière de hauteur ou le panneau complet pour empêcher la marche arrière. 
(Oui= 3, Non= 0)</t>
  </si>
  <si>
    <t>Guichet Service Clientèle (Oui= 1, Non= 0)</t>
  </si>
  <si>
    <t>Escalators ou tapis roulants
(Vers/Depuis tous les étages =5, Vers/Depuis certains étages =3, Pas d' escalators ou Tapis roulants = 0)</t>
  </si>
  <si>
    <t>Localisation de l'aire de stationnement du véhicule via le numéro du ticket ou plaque d'immatriculation
(Oui= 1, Non= 0)</t>
  </si>
  <si>
    <t xml:space="preserve">Parking sans barrière avec contrôle via plaque d'immatriculation (ANPR):  1 point extra </t>
  </si>
  <si>
    <t xml:space="preserve">Pôle intermodal/transport public à la sortie piétonne:
 yes=1, no=0, heures de départ réelles affichées dans le parking
: 1 point extra </t>
  </si>
  <si>
    <t>Prise en charge d'un service de voiturier autonome (AVP) dans une zone dédiée du parking:  Oui=5, Non=0</t>
  </si>
  <si>
    <t xml:space="preserve">Autres points positifs, tels que des services supplémentaires, un personnel amical, des murs/sols carrelés, une bonne intégration du parking dans le paysage urbain, etc. peuvent être ajoutés jusqu'à dix points supplémentaires. A identifier explicitement.
</t>
  </si>
  <si>
    <t>Un plan de cycle de vie a-t-il été établi et publié pour le bâtiment ? Oui=1, Non=0</t>
  </si>
  <si>
    <t>Un plan de durabilité (comprenant une stratégie de recyclage en fin de vie) est-il en place et mis en œuvre ? Oui=1, Non=0</t>
  </si>
  <si>
    <t>La consommation d'énergie quotidienne, mensuelle et annuelle est-elle affichée dans la zone piétonne ? Non=1, Oui=0</t>
  </si>
  <si>
    <t xml:space="preserve">Hauteur minimale au plafond 2,00m dans la majorité des aires de stationnements dédiées au public. Les éventuels passages plus bas doivent être clairement signalés. </t>
  </si>
  <si>
    <t>70 % des aires de stationnement doivent avoir une largeur d'au moins 2,40 m.</t>
  </si>
  <si>
    <t>Résultat minimum atteint pour cette catégorie</t>
  </si>
  <si>
    <t>Ceci va effacé toutes les données de la checkliste ESPA. Etes-vous certain?</t>
  </si>
  <si>
    <t>Vous avez introduit un mot de passe incorrect. La checkliste ne peut être utilisée non protégée</t>
  </si>
  <si>
    <t>Introduisez svp votre mot de passe pour accéder à la checkliste de l'ESPA</t>
  </si>
  <si>
    <t>Introduction mot de passe</t>
  </si>
  <si>
    <t>Mot de passe incorrect</t>
  </si>
  <si>
    <t>Ceci va imprimer 15 pages sur votre imprimante active. Etes-vous certain?</t>
  </si>
  <si>
    <t>Alerte</t>
  </si>
  <si>
    <t>En changeant de langue, vous allez réinitialiser toutes vos données. Etes-vous certain?</t>
  </si>
  <si>
    <t>Conditions obligatoires pour l'obtention du Gold Award</t>
  </si>
  <si>
    <t>Evaluation globale - Gold Award</t>
  </si>
  <si>
    <t>La checkliste ESPA utilise des macros. Fermez l'application et rallumez-là en autorisant l'usage des macros.</t>
  </si>
  <si>
    <t>Année de construction</t>
  </si>
  <si>
    <t>Structure du bâtiment</t>
  </si>
  <si>
    <t>Contrôle d'accès</t>
  </si>
  <si>
    <t>Nombre d'ascenseurs</t>
  </si>
  <si>
    <t>Nombre d'étages</t>
  </si>
  <si>
    <t>Caractéristiques principales du parking</t>
  </si>
  <si>
    <t>Pilier au fond de l’aire de stationnement mais mais déborde sur celle-ci</t>
  </si>
  <si>
    <t>Qualité supérieure</t>
  </si>
  <si>
    <t>Qualité satisfaisante</t>
  </si>
  <si>
    <t>Plus de 8 personnes</t>
  </si>
  <si>
    <t>Nombre d'emplacements disponibles</t>
  </si>
  <si>
    <t>Libre/Complet</t>
  </si>
  <si>
    <t>Un(e) à chaque sortie piétons</t>
  </si>
  <si>
    <t>A un seul endroit</t>
  </si>
  <si>
    <t>ANPR (Lecture Plaque) lié à un compte bancaire</t>
  </si>
  <si>
    <t>Pas de séparation Hommes/Femmes</t>
  </si>
  <si>
    <t>Sans rapport (sous-terrain)</t>
  </si>
  <si>
    <t>Plus de 10%</t>
  </si>
  <si>
    <t>Entre 5% et 10%</t>
  </si>
  <si>
    <t>Entre 2% et 5%</t>
  </si>
  <si>
    <t>Moins de 2%</t>
  </si>
  <si>
    <t>Aucun(e)</t>
  </si>
  <si>
    <t>Moins de 4kW</t>
  </si>
  <si>
    <t>Entre 4kW et 10kW</t>
  </si>
  <si>
    <t>Entre 10kW et 20kW</t>
  </si>
  <si>
    <t>Plus de 20kW</t>
  </si>
  <si>
    <t>Plus de 50kW</t>
  </si>
  <si>
    <t>Moins de 50kW</t>
  </si>
  <si>
    <t>Entre 50kW et 100kW</t>
  </si>
  <si>
    <t>Entre 100kW et 200kW</t>
  </si>
  <si>
    <t>Plus de 200kW</t>
  </si>
  <si>
    <t>Plus de 10 emplacements</t>
  </si>
  <si>
    <t>Entre 5 et 10 emplacements</t>
  </si>
  <si>
    <t>Entre 1 et 5 emplacements</t>
  </si>
  <si>
    <t>Plus de 10 unités</t>
  </si>
  <si>
    <t>Entre 1 et 10 unités</t>
  </si>
  <si>
    <t>Tableaux des heures de départ</t>
  </si>
  <si>
    <t>Erforderliche Mindestkriterien</t>
  </si>
  <si>
    <t>Eine Quittung muss (zumindest) auf Kundenanforderung ausgegeben werden.</t>
  </si>
  <si>
    <t>Alle Fahrmanöver müssen ohne Zurücksetzen des Fahrzeugs möglich sein. Ausnahmen sind Ein- und Ausparkmanöver oder Sackgassen.</t>
  </si>
  <si>
    <t>Hilfsbereich für 2.8</t>
  </si>
  <si>
    <t>Ende des Stellplatzes unter / zwischen Leuchtmittel</t>
  </si>
  <si>
    <t>Mitte des Stellplatzes unter / zwischen Leuchtmittel</t>
  </si>
  <si>
    <t>Fahrbahnmitte unter / zwischen Leuchtmittel</t>
  </si>
  <si>
    <t>Inhalt</t>
  </si>
  <si>
    <t>Max. Durchfahrtshöhe ist an der Einfahrt angegeben (ja=1, nein=0)</t>
  </si>
  <si>
    <t>Korrekte Einfahrtsbeschilderung (ja=1, nein=0)</t>
  </si>
  <si>
    <t>Gummilippe , um Schaden zu verhindern (ja=1, nein=0)</t>
  </si>
  <si>
    <t>Verkehrsleitsystem weist auf Benutzungseinschränkungen hin.
• klare Ausschilderung = 3
• teilweise Ausschilderung = 2
• keine Ausschilderung = 0</t>
  </si>
  <si>
    <t>Informationen zu:</t>
  </si>
  <si>
    <t>Tägliche Öffnungszeiten</t>
  </si>
  <si>
    <t>Tarifauszeichnung</t>
  </si>
  <si>
    <t>Lesbarkeit der Tarifauszeichnung</t>
  </si>
  <si>
    <t>Gestaltung des Ein-/Ausfahrtsbereiches</t>
  </si>
  <si>
    <t>Schranken</t>
  </si>
  <si>
    <t>Schnelllauftore</t>
  </si>
  <si>
    <t>Personal vor Ort (Ein- oder Ausfahrt)</t>
  </si>
  <si>
    <t>Ausfahrtsschranke öffnet automatisch, wenn mittels Kennzeichenerkennung ein bezahltes Ticket erkannt wird: ja = 2, nein = 0</t>
  </si>
  <si>
    <t>Ausfahrt: Ausfahrtsspur endet mindestens 5 m vor Querverkehr (Fußgänger, Radfahrer):</t>
  </si>
  <si>
    <t>Parkbereich</t>
  </si>
  <si>
    <t>Anfahrschutz an den Säulen: gute Qualität = 2; Standard = 1; keine = 0; irrelevant = 2)</t>
  </si>
  <si>
    <t>Übersichtlichkeit (viele / wenige tote Winkel, Zwischenwände, etc.) Gut = 4; Mittel = 2; Schlecht = 0</t>
  </si>
  <si>
    <t>Beschilderung</t>
  </si>
  <si>
    <t>Entsprechen die Schilder dem nationalen Verkehrsrecht</t>
  </si>
  <si>
    <t>Gut erkennbar?</t>
  </si>
  <si>
    <t>Eindeutig?</t>
  </si>
  <si>
    <t>Wird die Stellplatzmarkierung an der Wand zur Unterstützung des Fahrers fortgeführt?</t>
  </si>
  <si>
    <t>Sind die Fahrbahnmarkierungen</t>
  </si>
  <si>
    <t>Stellplätze für Personen mit Einschränkungen</t>
  </si>
  <si>
    <t>Angabe von Stellplätzen mit barrierefreiem Zugang an der Einfahrt:</t>
  </si>
  <si>
    <t>Barrierefreier Zugang?</t>
  </si>
  <si>
    <t>Rampenbreite (zwischen Schrammborden) gemessen am engsten Punkt</t>
  </si>
  <si>
    <t>Fußgängerzugang</t>
  </si>
  <si>
    <t>Zutrittskontrolle per Ticket / Medium (ja = 1; nein = 0)</t>
  </si>
  <si>
    <t>Anzahl der Aufzüge auf Straßen-Niveau:
(1 Aufzug = 1; 2 oder mehr Aufzüge = 5)</t>
  </si>
  <si>
    <t>Anzeige der Parkebenen:</t>
  </si>
  <si>
    <t xml:space="preserve">im Aufzug: </t>
  </si>
  <si>
    <t>im Vorraum zum Aufzug:</t>
  </si>
  <si>
    <t>Handläufe (keine = 0; einseitig = 1; beidseitig = 2)</t>
  </si>
  <si>
    <t>Sicherheitsausstattung</t>
  </si>
  <si>
    <t>Videoüberwachung mit Hinweis an den Eingängen = 3; keine Videoüberwachung = 0</t>
  </si>
  <si>
    <t xml:space="preserve">Videoüberwachung bei: </t>
  </si>
  <si>
    <t>Einfahrt: ja = 1; nein = 0</t>
  </si>
  <si>
    <t>Ausfahrt: ja = 1; nein = 0</t>
  </si>
  <si>
    <t>Überwiegender Parkbereich (65%): ja = 3; nein = 0</t>
  </si>
  <si>
    <t>Rampen: ja = 1; nein = 0</t>
  </si>
  <si>
    <t>Notrufsystem im Parkbereich (24/7 = 3; zu den Öffnungszeiten (wenn nicht 24/7) = 2; teilweise/gar nicht = 0)</t>
  </si>
  <si>
    <t>Einzelstellplatzanzeige (ja/gut = 2; nein/schlecht = 0)</t>
  </si>
  <si>
    <t>Verkehrsleitsystem (Fahrzeuge)</t>
  </si>
  <si>
    <t>statisches Leitsystem (ja = 1; nein = 0)</t>
  </si>
  <si>
    <t>Leuchtschilder an der Einfahrt</t>
  </si>
  <si>
    <t>grüne Pfeile / rote Kreuze (ja = 1; nein = 0)</t>
  </si>
  <si>
    <t>Komfort und Verschiedenes</t>
  </si>
  <si>
    <t>Lesbare und verständliche Tarifauszeichnung (ja = 1; nein = 0)</t>
  </si>
  <si>
    <t>Geschäftsbedingungen des Betreibers (ja = 1; nein = 0)</t>
  </si>
  <si>
    <t>Bezahlmöglichkeiten (Bezahlung an der Ausfahrt / am Kassenautomaten):</t>
  </si>
  <si>
    <t>Bargeld (ja = 1; nein = 0)</t>
  </si>
  <si>
    <t>Internationale Debit und Kreditkarten (ja = 1; nein = 0)</t>
  </si>
  <si>
    <t>Bezahlung über Smartphone (ja = 1; nein = 0)</t>
  </si>
  <si>
    <t xml:space="preserve">Bezahlmöglichkeiten an der Ausfahrt: </t>
  </si>
  <si>
    <t>Bezahlpunkte</t>
  </si>
  <si>
    <t>Bewirtschaftung mit Parkscheinautomaten (Pay &amp; Display)?</t>
  </si>
  <si>
    <t>Kunden-WC:</t>
  </si>
  <si>
    <t>Vorhanden (ja =2; nein = 0)</t>
  </si>
  <si>
    <t>Barrierefreie Toilette (ja = 1; nein = 0)</t>
  </si>
  <si>
    <t>genderneutrale Toilette = 0; Frauen / Männer getrennt = 1</t>
  </si>
  <si>
    <t>Personalanwesenheit: ja = 1; nein = 0</t>
  </si>
  <si>
    <t>Einsatz von Farben / Verschönerung</t>
  </si>
  <si>
    <t>Farbige Säulen = 1; nein/betongrau = 0</t>
  </si>
  <si>
    <t>Farbige Wände = 1; nein/betongrau = 0</t>
  </si>
  <si>
    <t>Kunst (ja = 2; nein = 0)</t>
  </si>
  <si>
    <t>Pflanzen (ja = 1; nein = 0)</t>
  </si>
  <si>
    <t>sonstiges (ja = 1; nein =0)</t>
  </si>
  <si>
    <t>Mobilfunkabdeckung (ja = 2; nein = 0)</t>
  </si>
  <si>
    <t>Radioempfang (ja = 1; nein = 0)</t>
  </si>
  <si>
    <t>Andere Systeme (ja = 1; nein = 0)</t>
  </si>
  <si>
    <t>Solarpanele auf dem Dach oder andere Green Energy Initiativen (ja = 2; nein = 0)</t>
  </si>
  <si>
    <t>Öffentliche Ladepunkte für elektrische Fahrzeuge</t>
  </si>
  <si>
    <t>Mehr als 10% der Stellplätze mit Ladepunkten ausgerüstet = 4; 5%-10% = 3; 2%-5% = 2; unter 2% = 1; keine = 0</t>
  </si>
  <si>
    <t>Mobilitäts-Hubs</t>
  </si>
  <si>
    <t>Verschmutzung</t>
  </si>
  <si>
    <t>Schlechter Zustand der Malerarbeiten</t>
  </si>
  <si>
    <t>Schlechte Qualität / Instandhaltungsmängel (Schlaglöcher, Schäden)</t>
  </si>
  <si>
    <t>Boden (ja = -2; nein = 0)</t>
  </si>
  <si>
    <t>Wände (ja = -2; nein = 0)</t>
  </si>
  <si>
    <t>sonstige Hilfen (ja = 1; nein = 0)</t>
  </si>
  <si>
    <t>Verkaufsmaschinen (ja = 1; nein = 0)</t>
  </si>
  <si>
    <t>Defibrillator (ja = 1; nein = 0)</t>
  </si>
  <si>
    <t>Personal mit Erster Hilfe-Ausbildung (ja = 1; nein = 0)</t>
  </si>
  <si>
    <t>Echtzeit-Verkehrsdaten (ja = 1; nein = 0)</t>
  </si>
  <si>
    <t>sonstige Echtzeit-Informationen (z.B. lokale Veranstaltungen) (ja = 1; nein = 0)</t>
  </si>
  <si>
    <t>Maßnahmen, um Staus in Stoßzeiten zu verhindern (z.B. Wechselspuren) (ja = 3; nein = 0)</t>
  </si>
  <si>
    <t>Wendemöglichkeit vor der Höhenbeschränkung oder rechtzeitige Anzeige, um ein Wenden zu verhindern. (ja = 3; nein = 0)</t>
  </si>
  <si>
    <t>Rolltreppen und/oder Rollbänder
(in/von allen Ebenen = 5; in/von einigen Ebenen = 3; keine = 0)</t>
  </si>
  <si>
    <t>Auffindbarkeit des geparkten Fahrzeugs anhand des Tickets oder Kennzeichens (ja = 1; nein ) 0)</t>
  </si>
  <si>
    <t>Durchschnittliche Ausleuchtung der Parkfläche beträgt mindestens 50 Lux</t>
  </si>
  <si>
    <t>Menos de 10%</t>
  </si>
  <si>
    <t>mais de 15%</t>
  </si>
  <si>
    <t>Menos de 4 metros</t>
  </si>
  <si>
    <t>Mais de 4,3 metros</t>
  </si>
  <si>
    <t>Menos de 9 metros</t>
  </si>
  <si>
    <t>Mais de 10 metros</t>
  </si>
  <si>
    <t>Menos de 7,5 metros</t>
  </si>
  <si>
    <t>Entre 7,5m e 9 metros</t>
  </si>
  <si>
    <t>Mais de 9 metros</t>
  </si>
  <si>
    <t>Menos de 5%</t>
  </si>
  <si>
    <t>Entre 5% e 7%</t>
  </si>
  <si>
    <t>Mais de 7%</t>
  </si>
  <si>
    <t>Menos de 2 metros</t>
  </si>
  <si>
    <t>Entre 2.00m e 2.10m</t>
  </si>
  <si>
    <t>Entre 2.10m e 2.20m</t>
  </si>
  <si>
    <t>Mais de 2.20m</t>
  </si>
  <si>
    <t>nenhuma visibilidade desde o elevador</t>
  </si>
  <si>
    <t>menos de 1.5 m</t>
  </si>
  <si>
    <t>mais de 1.5 m</t>
  </si>
  <si>
    <t>menos de 90 cm</t>
  </si>
  <si>
    <t>maior ou igual a 90 cm</t>
  </si>
  <si>
    <t>Irrelevante (aberto 24 horas)</t>
  </si>
  <si>
    <t>menor ou igual a 15 cm</t>
  </si>
  <si>
    <t>maior que 15 cm ou nenhuma proteção</t>
  </si>
  <si>
    <t>Lugares Disponíveis</t>
  </si>
  <si>
    <t>Livre / Completo</t>
  </si>
  <si>
    <t>Em todos os acessos pedonais</t>
  </si>
  <si>
    <t>Num local</t>
  </si>
  <si>
    <t>Leitura de matrículas ligada a conta bancária</t>
  </si>
  <si>
    <t>inferior a  1 para cada 50 lugares</t>
  </si>
  <si>
    <t>Irrelevante (abaixo do solo)</t>
  </si>
  <si>
    <t>Superior a 10%</t>
  </si>
  <si>
    <t>Entre 5% e 10%</t>
  </si>
  <si>
    <t>Entre 2% e 5%</t>
  </si>
  <si>
    <t>Menos de 2%</t>
  </si>
  <si>
    <t>Inferior a 4kW</t>
  </si>
  <si>
    <t>Entre 4kW e 10kW</t>
  </si>
  <si>
    <t>Entre 10kW e 20kW</t>
  </si>
  <si>
    <t>Mais de 20 kW</t>
  </si>
  <si>
    <t>Mais de 50kW</t>
  </si>
  <si>
    <t>Menos de 50kW</t>
  </si>
  <si>
    <t>Entre 50kW e 100kW</t>
  </si>
  <si>
    <t>Entre 100kW e 200kW</t>
  </si>
  <si>
    <t>Mais de 200kW</t>
  </si>
  <si>
    <t>Mais de 10 lugares</t>
  </si>
  <si>
    <t>Entre 5 e 10 lugares</t>
  </si>
  <si>
    <t>Entre 1 e 5 lugares</t>
  </si>
  <si>
    <t>Mais de 10 espaços</t>
  </si>
  <si>
    <t>Entre 1 e 10 espaços</t>
  </si>
  <si>
    <t>Horários de partida disponiveis</t>
  </si>
  <si>
    <t>Todas as manobras devem poder ser efectuadas sem necessidade de inversão de marcha (excluindo entradas/saídas de lugares e zonas sem saída)</t>
  </si>
  <si>
    <t>Lista de itens</t>
  </si>
  <si>
    <t>Limite de altura do parque de estacionamento identificado na entrada (Sim=1, Não=0)</t>
  </si>
  <si>
    <t>Sinal correto na entrada (Sim=1, Não=0)</t>
  </si>
  <si>
    <t>Barreira de altura (Sim=1, Não=0)</t>
  </si>
  <si>
    <t>Proteção de borracha para evitar danos (Sim=1, Não=0)</t>
  </si>
  <si>
    <t>Barreira de saída abre automaticamente, baseado em leitura de matrícula (Sim=2, Não=0)</t>
  </si>
  <si>
    <t>Proteção nos pilares para evitar danos em veículos (Boa qualidade = 2, qualidade básica = 1, nenhuma =0, irrelevante = 2)</t>
  </si>
  <si>
    <t>Sinalização para o condutor:</t>
  </si>
  <si>
    <t>Acessibilidade para cadeiras de rodas?</t>
  </si>
  <si>
    <t>Perto da saída para peões?</t>
  </si>
  <si>
    <t>Lugares para pessoas com mobilidade condicionada</t>
  </si>
  <si>
    <t>É um parque de estacionamento de um único piso, sem rampas?</t>
  </si>
  <si>
    <t>Selecionar a Largura &lt; 3m=0, 3-3.3m=1, &gt;3.3m=2, sem rampas=2</t>
  </si>
  <si>
    <t>Selecionar a Largura &lt; 4m=0, 4-4.3m=1, &gt;4.3m=2, sem rampas=2</t>
  </si>
  <si>
    <t>Este parque tem apenas um piso, ao nível da entrada (não descoberto)?</t>
  </si>
  <si>
    <t>Os elevadores servem o nível de rua?</t>
  </si>
  <si>
    <t>Os elevadores são a principal forma de ligação entre pisos? (escadas são secundárias ou vias de escape)</t>
  </si>
  <si>
    <t>Adicionalmente sinalização dinâmica (Lugares Disponíveis = 2, Livre/Completo = 1, Não = 0)</t>
  </si>
  <si>
    <t>Localização do Estacionamento nas aplicações de GPS</t>
  </si>
  <si>
    <t>Informação Dinâmica Adicional (Espaços Disponíveis = 2, Livre/Completo = 1, Não = 0)</t>
  </si>
  <si>
    <t>Mapa da cidade: (Em todos os acessos pedonais = 2, num local = 1; Não = 0)</t>
  </si>
  <si>
    <t>Conforto / Diversos</t>
  </si>
  <si>
    <t>Aceita notas/moedas? (sim =1, não =0)</t>
  </si>
  <si>
    <t>Aceita cartões de débito/crédito internacionais?  (sim =1, não =0)</t>
  </si>
  <si>
    <t>Aceita Oitros Meios de Pagamento? Quantos? (1 ponto por cada meio adicional com máximo de 3 pontos)</t>
  </si>
  <si>
    <t>Possibilidade de pagamento na barreira de saída:</t>
  </si>
  <si>
    <t>Leitura de matrícula ligada a conta bancária ou app? (sim = 1, não = 0)</t>
  </si>
  <si>
    <t>Sistemas RFID ligado a conta bancária ou app (sim=1, não = 0)</t>
  </si>
  <si>
    <t>Aceita sistemas usados a nível nacional (pe, pagamento de portagens, transportes público)? (sim = 1, não = 0)</t>
  </si>
  <si>
    <t>Barreira de entrada abre automaticamente e inicia transação com pagamento automática, com ligação a app ou conta bancária? (Sim = 1, não = 0). Se baseado em leitura de matrícula, 1 ponto adicional.</t>
  </si>
  <si>
    <t>Locais de pagamento</t>
  </si>
  <si>
    <t>Cestos de papéis</t>
  </si>
  <si>
    <t>Papeleiras em cada acesso / zona de escadas (Sim = 1, não=0)</t>
  </si>
  <si>
    <t>Papeleiras na zona de estacionamento, &gt;1 por cada 100 lugares (Sim = 1, não=0)</t>
  </si>
  <si>
    <t>Ponto de recolha para entregas locais e on-line (Sim = 1, Não = 0)</t>
  </si>
  <si>
    <t>Pontos para recarga de Veículos Elétricos</t>
  </si>
  <si>
    <t>Lugares destinados a carga eléctrica: mais de 10% = 4 pontos, 5% a 10% = 3, 2% a 5% = 2, menos de 2% = 1, nenhum = 0</t>
  </si>
  <si>
    <t>Capacidade média por carregador (&lt;4kW = 0, 4-10kW = 1, 10-20k" = 2, &gt;20kW = 3. Fast chargers &gt; 50kW = 1 ponto adicional)</t>
  </si>
  <si>
    <t>Energia total disponível por cada 100 lugares (&lt;50kW = 0, 50-100kW = 1, 100-200 kW=2, &gt;200 kW = 3)</t>
  </si>
  <si>
    <t>Locais de carga junto de entradas para mais fácil acesso dos bombeiros (sim = 1, não=0)</t>
  </si>
  <si>
    <t>Possibilidade de reserva de carregador (sim = 1, não = 0)</t>
  </si>
  <si>
    <t>Centros de Mobilidade</t>
  </si>
  <si>
    <t>Espaços destinados a veículos partilhados</t>
  </si>
  <si>
    <t>Centro de mobilidade com serviço de limpeza: 1 ponto</t>
  </si>
  <si>
    <t>Espaços próprios para bicicletas partilhadas e/ou scooters e/ou trotinetas (&gt;10 unidades = 2, 1-10 unidades = 1, nenhum = 0)</t>
  </si>
  <si>
    <t>Carregadores para veículos eléctricos de mobilidade ligeira (&gt;10 = 2, 1-10 = 1, nenhum = 0)</t>
  </si>
  <si>
    <t>Partilha de bicicletas misturada com a área de estacionamento - perde 1 ponto.</t>
  </si>
  <si>
    <t>Estacionamento recente, projectado de acordo com especificações de reciclagem (sim = 1, não = 0)</t>
  </si>
  <si>
    <t>Outras iniciativas ambientais (sim= 2, não= 0)</t>
  </si>
  <si>
    <t>Existência de graffitis:</t>
  </si>
  <si>
    <t>Sinalização horizontal (Sim= -2, Não= 0)</t>
  </si>
  <si>
    <t>Funcionários treinados em primeiros socorros (Sim= 1, Não= 0)</t>
  </si>
  <si>
    <t>Utilização do standart APDS (Yes = 1, Não = 0)</t>
  </si>
  <si>
    <t>Parque sem barreiras com controlo por matrícula: 1 ponto extra</t>
  </si>
  <si>
    <t>P&amp;R / Terminal de transportes públicos junto a acessos pedonais (Sim 1, Não = 0), horários de transportes públicos disponíveis, 1 ponto extra,</t>
  </si>
  <si>
    <t>Suporte para estacionamento automáticos de veículos autónomos (AVP), em zona dedicada (Sim = 5, Não = 0)</t>
  </si>
  <si>
    <t>Existência de um plano de manutenção e conservação para a vida útil do edifício (Sim=1, Não = 0)</t>
  </si>
  <si>
    <t>Is a life-care plan for the building published and maintained? Yes=1, no=0)</t>
  </si>
  <si>
    <t>Há um plano de sustentabilidade (incluindo estratégias de reciclagem em fim-de-vida) implementado? (Sim = 1, Não = 0)</t>
  </si>
  <si>
    <t>O consumo de energia diário, mensal e anual é público e está disponível em zonas pedonais? (Sim = 1, Não = 0)</t>
  </si>
  <si>
    <t>70% dos lugares de estacionamento devem ter no mínimo 2.40m de largura. Para parques de estacionamento renovados, com mais de dez anos de idade, a largura mínima do lugar permitida é de 2.25m (neste caso aplica-se uma penalidade - ver M8).</t>
  </si>
  <si>
    <t>Sinalética (Interior e Exterior)</t>
  </si>
  <si>
    <t>Turkish</t>
  </si>
  <si>
    <t>Zorunlu Asgari Şartlar</t>
  </si>
  <si>
    <t>Otopark halka açık olmalı</t>
  </si>
  <si>
    <t>Halka açık alanlarda asgari yükseklik,1.90 m olmalıdır. Bunun altındaki alçak kısımlar işaretlenmelidir / belirtilmelidir.</t>
  </si>
  <si>
    <t>Giriş ve çıkış için ayrılmış birer adet şerit olmalıdır, trafik akışını sağlamak için ilave şeritler kullanılabilir.</t>
  </si>
  <si>
    <t>Park alanlarının en az %70'i, 2.30 m genişliğinde olmalıdır. 10 yaşın üzerindeki yenilenmiş otoparklarda 2.25'e izin verilmekle birlikte, M8 maddedeki ceza uygulanır.</t>
  </si>
  <si>
    <t xml:space="preserve">Tek yönlü trafik için olan tüm düz rampalar en az 2.7 m. olmalıdır. Çift yönlü trafik için olan rampalar ise 6 m. genişliğinde olmalı ve şerit çizgisi olmalıdır. Rampa genişlikleri duvardan duvara ya da kolondan kolana ölçülür. </t>
  </si>
  <si>
    <t>Tek yönlü trafik için kavisli rampalar, minimum 3,5 m. şerit genişliğine ve en az 8,00 m. dış yarıçapa sahip olmalıdır. Bu ölçüler, çift yönlü kavisli rampalarda iç sürüş şeridi için geçerlidir. Dış sürüş şeridi için de minimum 3,5 m. genişlik olmalıdır.</t>
  </si>
  <si>
    <t>Şeridin orta noktasından yapılacak ölçüme göre rampa eğimi %20'yi aşmamalıdır. Çift yönlü kavisli rampalarda ölçüm, iç sürüş şeridinin en dik noktasından yapılır.</t>
  </si>
  <si>
    <t>Eğer otopark ücreti ise ve bariyer ya da kapı ile giriş kontrolü varsa otopark çalışanları, ödeme noktalarından, giriş / çıkış noktalarından ve emniyet altına alınmış yaya girişlerinden erişilebilir durumda olmalıdır.</t>
  </si>
  <si>
    <t>İstendiğinde, ödeme fişi/makbuzu verilebilmelidir.</t>
  </si>
  <si>
    <t>Tüm dönüş hareketleri geri gitmeden tamamlanabilmelidir (park alanına giriş/çıkış ve çıkmaz yollar hariç).</t>
  </si>
  <si>
    <t>Park alanlarında  zemindeki  ortalama ışık seviyesi en az 20 Lüx olmalıdır.</t>
  </si>
  <si>
    <t>Aydınlatma</t>
  </si>
  <si>
    <t>Araç giriş alanı;  zemin seviyesinde
• 200 Lüx'ün üzerinde = 5;
• 75–200 Lüx arasında= 75'in üzerinde Lüx başına 0,04 puan;
• 75 Lüks'ün altında = 0</t>
  </si>
  <si>
    <t>Giriş; bilet makinesinin yanında 1 m. yükseklikte
• 200 Lüx'ün üzerinde = 3;
• 100–200 Lux arasında= 100'ün üzerinde Lux başına 0,03 puan;
• 100 Lüks'ün altında = 0</t>
  </si>
  <si>
    <t>Çıkış; bariyer/bilet makinesinin yanında 1m. yükseklikte
• 200 Lüx'ün üzerinde = 3;
• 100–200 Lüx arasında= 100'ün üzerinde Lüx başına 0,03 puan;
• 100 Lüx'ün altında = 0</t>
  </si>
  <si>
    <t>Ödeme makinesinde; 1 m yükseklikte
• 200 Lüx'ün üzerinde =4;
• 100–200 Lüx arasında= 100'ün üzerinde Lüx başına 0,04 puan;
• 100 Lüx'ün altında= 0;
• Ödeme Makinesi Yok : 0</t>
  </si>
  <si>
    <t>Ödeme noktası ; tezgah yüksekliğinde
• 200 Lüx'ün üzerinde =4;
• 100–200 Lüx arasında= 100'ün üzerinde Lüx başına 0,04 puan;
• 100 Lüks'ün altında= 0;
• ödeme noktası yok = 3 (bu durumda sıfır girin)</t>
  </si>
  <si>
    <t>Asansörde;  zemin seviyesinde
• 70 Lüx'ün üzerinde = 4;
• 30–70 Lüx arasında= 30'un üzerinde Lüx başına 0,1 puan;
• 30 Lüks'ün altında = 0;
• Asansörsüz tek kat = 3 (bu durumda sıfır girin)</t>
  </si>
  <si>
    <t>Merdivenlerde ve diğer tüm yaya yollarında; kat seviyesinde
• 90 Lüx'ün üzerinde = 3;
• 30–90 Lüx arasında= 30'un üzerinde Lüx başına 0,05 puan;
• 30 Lüks'ün altında = 0</t>
  </si>
  <si>
    <t>Katlardaki park alanındaki ışık seviyeleri: (lütfen aşağıdaki tabloyu doldurun)
Kattaki ışık donatısının ortalama ışık seviyesi:
• 100 Lüx'ün üzerinde= 10;
• 20– 100 Lüx arasında= 20'nin üzerinde Lüx başına 0,125 puan;
• 20 Lüx'ün altında = 0</t>
  </si>
  <si>
    <t>Standart sapma olarak ızgaradaki ışık seviyelerinin istikrarı
• Ortalama ışık seviyesinin %25'inin altında = 10;
• %25–50 arası: %50'nin altındaki her birim için 0,4 puan;
• %50'nin üzerinde = 0</t>
  </si>
  <si>
    <t>2.8 için Yardımcı Izgara (Destek Aydınlatma)???</t>
  </si>
  <si>
    <t xml:space="preserve">Park yerinin sonu aydınlatma armatürünün altında/arasında </t>
  </si>
  <si>
    <t xml:space="preserve">Park yerinin yarısı aydınlatma armatürünün altında/arasında </t>
  </si>
  <si>
    <t xml:space="preserve">Araç yolunun kenarı aydınlatma armatürünün altında/arasında </t>
  </si>
  <si>
    <t xml:space="preserve">Araç yolunun ortası aydınlatma armatürünün altında/arasında </t>
  </si>
  <si>
    <t xml:space="preserve">Araç yolunun diğer kenarı aydınlatma armatürünün altında/arasında </t>
  </si>
  <si>
    <t>Araç Girişi / Araç Çıkışı</t>
  </si>
  <si>
    <t>Eşya Listesi</t>
  </si>
  <si>
    <t>Girişte belirtilmiş otopark yükseklik sınırı (evet=1, hayır=0)</t>
  </si>
  <si>
    <t>Girişte bulunan doğru işaret (evet=1, hayır=0)</t>
  </si>
  <si>
    <t>Yükseklik bariyeri (evet=1, hayır=0)</t>
  </si>
  <si>
    <t>Hasarı önlemek için lastik kenar (evet=1, hayır=0)</t>
  </si>
  <si>
    <t>Yükseklik:
(1,90 m'den 2,20 m'ye kadar her 10 cm yükseklik için otoparka bir puan verilmelidir)</t>
  </si>
  <si>
    <t>Tesis kullanımındaki sınırlamaları tanımlamak için trafik işaretleri.
• Açık ve belirgin işaretleme = 3
• Eksik işaretleme = 2
• İşaret yok = 0</t>
  </si>
  <si>
    <t>Bilgi:</t>
  </si>
  <si>
    <t>İşletmecinin hüküm ve koşulları</t>
  </si>
  <si>
    <t>Günlük açılış saatleri</t>
  </si>
  <si>
    <t>Tarife</t>
  </si>
  <si>
    <t>Tarife sisteminin (tabelasının) okunabilirliği</t>
  </si>
  <si>
    <t>Giriş/çıkış alanı tasarımı</t>
  </si>
  <si>
    <t>Giriş bilet makinesi erişim kolaylığı</t>
  </si>
  <si>
    <t>Çıkış bilet makinesine erişim kolaylığı</t>
  </si>
  <si>
    <t>Bilet makinelerinin bulunduğu yerde dikey eğim</t>
  </si>
  <si>
    <t>Giriş şeridi:
• %0-2 (araç frensiz hareket etmez) = 1
• %2-5 = 0
• %5'in üzerinde = -1</t>
  </si>
  <si>
    <t>Çıkış şeridi:
• %0-2 (araç frensiz hareket etmez) = 1
• %2-5 = 0
• %5'in üzerinde = -1</t>
  </si>
  <si>
    <t>Ortalama bir araç tekerleğine zarar vermemek için tasarlanmış bordür:
(Evet = 2, Koruma yok = 0, Giriş/çıkış alanında bordür yok = 2)</t>
  </si>
  <si>
    <t>Giriş /çıkış rampalarında kaymayı önleyici yüzey:
(Kaymazlık = 1, Islakken kaygan = 0)</t>
  </si>
  <si>
    <t>Erişim güvenliği</t>
  </si>
  <si>
    <t>Bariyer</t>
  </si>
  <si>
    <t>İnterkom</t>
  </si>
  <si>
    <t>Plaka Tanıma Sistemi</t>
  </si>
  <si>
    <t>Bütünüyle hızlı kapanan kapılar</t>
  </si>
  <si>
    <t>Personelli erişim (Giriş veya çıkış)</t>
  </si>
  <si>
    <t>PTS'ye göre ödeme istasyonunda ödeme yapıldığında çıkış bariyeri otomatik olarak açılır: Evet = 2 , hayır = 0</t>
  </si>
  <si>
    <t>Binanın Giriş / Çıkışı: yapı arasındaki genişlik (şerit başına)
(&lt; 3 m =0, 3 – 3,3 m =1, &gt; 3,3 m = 2)</t>
  </si>
  <si>
    <t>Çıkış: Çıkış eğimi, trafiğe girmeden en az 5 metre önce biter (yayalar/bisikletliler):</t>
  </si>
  <si>
    <t>Park Alanı</t>
  </si>
  <si>
    <t xml:space="preserve">Park yerlerinin en az %85'i için sütun yerleşimi:
• park alanına girmez = 8
• duraklamanın başında = 0
• araba kapısının yanında = 0
• aracın arkasında ancak park alanına giriyor = 4 </t>
  </si>
  <si>
    <t>Araba hasarını önlemek için sütunlarda bulunan koruma: iyi kalite=2, temel kalite=1, yok=0, alakasız=2)</t>
  </si>
  <si>
    <t>Görünürlük (çok/az ölü nokta, otoparktaki duvarlar vb.)
İyi=4, Orta=2 veya Kötü=0</t>
  </si>
  <si>
    <t>Tabela</t>
  </si>
  <si>
    <t>Sürücüler için tabela:</t>
  </si>
  <si>
    <t>Trafik işaretleri ulusal yol kurallarına uygun mu?</t>
  </si>
  <si>
    <t>Yönlendirme ve dönüş işaretleri: İşaretler açık, eksiksiz ve net mi?</t>
  </si>
  <si>
    <t>Tamam mı?</t>
  </si>
  <si>
    <t>Görmek kolay mı?</t>
  </si>
  <si>
    <t>Açık mı?</t>
  </si>
  <si>
    <t>Otoparktaki çıkış işaretleri: İşaretler açık, eksiksiz ve net mi?</t>
  </si>
  <si>
    <t>Park yeri çizgileri</t>
  </si>
  <si>
    <t>Park yerleri açıkça belirtilmiş mi?</t>
  </si>
  <si>
    <t>Park yeri çizgileri, sürücüye yardımcı olmak için, duvarlara kadar uzuyor mu?</t>
  </si>
  <si>
    <t>Yol Çizgileri</t>
  </si>
  <si>
    <t>Engelli Alanları</t>
  </si>
  <si>
    <t>Otopark girişinde duyurulan ve tekerlekli sandalye ile erişilen engelli alanlarının müsaitliği:</t>
  </si>
  <si>
    <t>Tekerlekli sandalye ile erişilebilir mi?</t>
  </si>
  <si>
    <t>En az 3,5 m genişliğinde park yeri var mı?</t>
  </si>
  <si>
    <t>Yaya çıkışına yakın mı?</t>
  </si>
  <si>
    <t>Engelli alanları için yönlendirme var mı?</t>
  </si>
  <si>
    <t>Park yerlerinin % 85'inde park açısı:
(Açı 76-90° = 0, Açı 45-75° = 2)</t>
  </si>
  <si>
    <t>Park yerlerinin genişliği (en az %85'i), A veya B:
A: Park açısı 76 – 90 derece
(2.25m = -5, 2.30m = 0, 2.35m = 2, 2.40m = 4, 2.45m = 6, 2.50m = 8)
B: Park açısı 45-75 derece
(2.25m = -5, 2.30m = 1, 2.35m = 3, 2.40m = 5, 2.45m = 8)
2,25 m. genişlik sadece yenilenen otoparklar için geçerlidir, yeni otoparklar minimum 2,30 m. olmalıdır</t>
  </si>
  <si>
    <t>Tek yönlü ada genişliğinin toplam birim ölçüsü,
park açısına ve park yeri genişliğine bağlı olarak iki park yerinin genişliği ve derinliği:
Park yeri genişliği: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Yukarıdaki niteliklerdeki gibi toplam birim ölçüsü 3 puandır.
30 cm'ye kadar daha az ise 2 puan uygundur.
60 cm'ye kadar daha az ise 1 puan uygundur.
60 cm'den daha az ise: puan verilmez.</t>
  </si>
  <si>
    <t>Ortalama bir araç tekerleğine zarar vermemek için tasarlanmış bordür:
• Evet = 2, Koruma yok = 0 , Bordür yok = 2</t>
  </si>
  <si>
    <t>Araç Rampaları</t>
  </si>
  <si>
    <t>Bu rampası olmayan tek bir araba mı?</t>
  </si>
  <si>
    <t>Park alanları arasındaki rampa yüzeyi (Kayma önleyici 1, Düz 0, rampasız 1)</t>
  </si>
  <si>
    <t>Rampa boylamasına eğim bağlantı rampaları (park için kullanılmaz)
• &lt;%10=3, %10-15=1, &gt;%15=0, rampa yok=3</t>
  </si>
  <si>
    <t>Bordürler arası rampa genişliği. (En dar yerden ölçüm yapılır.)</t>
  </si>
  <si>
    <t>Aynı puan için eğimli rampalar 1 m daha geniş olmalıdır. Rampalar engellenmiş mi?</t>
  </si>
  <si>
    <t>Lütfen genişliği seçin. &lt; 3m=0, 3-3.3m=1, &gt;3.3m=3, rampa yok=3</t>
  </si>
  <si>
    <t>Lütfen genişliği seçin. &lt; 4m=0, 4-4.3m=1, &gt;4.3m=3, rampa yok=3</t>
  </si>
  <si>
    <t>Rampa kavisi (dış yarıçap) kavisli rampalar
• 9m'ye kadar=0, 9–10 m=1, &gt;10m=2, rampa yok=2
Çift yönlü rampalarda bu ölçü iç şeride uygulanır</t>
  </si>
  <si>
    <t>Düz rampalara yaklaşma kavisi
• &lt;7,5m=0, 7,5–9m=1, &gt;9m=2, rampa yok=2</t>
  </si>
  <si>
    <t>Rampalı park zemini uzunluğuna eğim
•  &lt;5%=3, 5-7 =1, &gt;7%=0, eğim yok=3</t>
  </si>
  <si>
    <t>Yaya Erişimi</t>
  </si>
  <si>
    <t>Zemin katta tek katlı kapalı bir otopark mı?</t>
  </si>
  <si>
    <t>Sokak seviyesine çıkan asansörler var mı?</t>
  </si>
  <si>
    <t>Asansörler ana dikey erişim unsuru mu? (Merdivenler sadece tali kullanım ve kaçış için)</t>
  </si>
  <si>
    <t>Yayalar için baş mesafesi - kapılar hariç
• &lt;2.00m = 0
• 2.00m – 2.10m = 1
• 2.10m – 2.20m = 2
• &gt; 2,20m = 3</t>
  </si>
  <si>
    <t>Ayrılmış yaya yolu (Örneğin; yükseltilmiş, zebra çizgilerifarklı renkle boyama vs.) (evet = 2, hayır = 0)</t>
  </si>
  <si>
    <t>Yaya giriş kapılarının kullanımı kolay mı?
(Evet, otomatik veya açık bağlantı = 4, Kolay açılır = 2, Hayır = 0)</t>
  </si>
  <si>
    <t>Otopark açıkken bilet/geçiş kartı ile kontrol edilen yaya girişi (Evet=1, Hayır=0)</t>
  </si>
  <si>
    <t>Sokak seviyesindeki asansör sayısı:
(1 asansör = 1; 2 + asansör = 5)</t>
  </si>
  <si>
    <t>Asansörlerin boyutu:
(8'den fazla kişi = 3; 4-8 kişi = 1; 4'ten az = 0)</t>
  </si>
  <si>
    <t>Asansör içinden park alanının görünüşü
(asansörden görüş yok = 0, camlı kapılar/duvarlar = 3, asansör yok = 0)</t>
  </si>
  <si>
    <t>Seviye göstergesi:</t>
  </si>
  <si>
    <t>asansörde:</t>
  </si>
  <si>
    <t>asansör bekleme alanında:</t>
  </si>
  <si>
    <t>Tekerlekli sandalye yüksekliğinde asansör kumanda düğmeleri
• Evet = 1, Hayır = 0</t>
  </si>
  <si>
    <t>Kapılar doğrudan park alanına açılır.</t>
  </si>
  <si>
    <t>Genişlik (&lt;90 cm =0, &gt;=90 cm = 2)</t>
  </si>
  <si>
    <t>Acil durum kapısı, standart açılma (Evet=2, Hayır= 0)</t>
  </si>
  <si>
    <t>Görünürlük (Camlı kapı/duvar = 3, Camsız = 0)</t>
  </si>
  <si>
    <t>Merdiven boşlukları (görünürlük ve yönlenme)</t>
  </si>
  <si>
    <t>Net görüntü (Evet = 1, Hayır = 0, Alakasız = 1)</t>
  </si>
  <si>
    <t>Seviye Göstergesi (Evet = 1, Hayır = 0, Alakasız = 1)</t>
  </si>
  <si>
    <t>Merdivenler (görünürlüğü arttırılmış basamaklar dahil)</t>
  </si>
  <si>
    <t>Genişlik (&lt; 1,5 m = 0, &gt; 1,5 m = 2)</t>
  </si>
  <si>
    <t>Trabzan (Tutunma yok =0, Tek Taraf = 1, Çift Taraf=2)</t>
  </si>
  <si>
    <t>Görme bozukluğu olan kişiler için adımların görünürlüğünün artması (Evet = 2, Hayır = 0)</t>
  </si>
  <si>
    <t>Merdivenlerde kaymaz kaplama: (Evet = 2, Hayır = 0)</t>
  </si>
  <si>
    <t>Merdiven boşluğundaki dış açıklıklar
(pencere/otopark içine veya dışına ızgara  =2, yok =0)</t>
  </si>
  <si>
    <t>Güvenlik ekipmanı</t>
  </si>
  <si>
    <t>Girişte uyarı tabelalı CCTV = 3, CCTV yok =0</t>
  </si>
  <si>
    <t>Personel gözetimi (yerinde veya uzaktan)
• Evet = 5, Hayır = 0</t>
  </si>
  <si>
    <t>CCTV'de:</t>
  </si>
  <si>
    <t>Araç Girişinde: Evet =1, Hayır =0</t>
  </si>
  <si>
    <t xml:space="preserve"> Araç Çıkışında: Evet =1, Hayır =0</t>
  </si>
  <si>
    <t>Ödeme Makinesinde: Evet =1, Hayır =0</t>
  </si>
  <si>
    <t>her kattaki asansör bekleme alanında: Evet =1, Hayır =0</t>
  </si>
  <si>
    <t>Her kattaki merdiven boşluklarında: Evet =1, Hayır =0</t>
  </si>
  <si>
    <t>Yaya Girişlerinde: Evet =1, Hayır =0</t>
  </si>
  <si>
    <t>Otopark Alanının Çoğunda (%65):Evet =3, Hayır =0</t>
  </si>
  <si>
    <t>Rampalarda: Evet = 1, Hayır = 0</t>
  </si>
  <si>
    <t>Personel ile iletişime geçilebilecek araçlar:</t>
  </si>
  <si>
    <t>Ödeme makinesinde ve/veya kontrollü girişlerde interkom (7/24=3, 7/24 değilse tüm erişim saatleri= 2, Yarı zamanlı/mevcut değil = 0)</t>
  </si>
  <si>
    <t>Otopark acil çağrı sistemi (7/24=3, 7/24 değilse tüm erişim saatleri= 2, Yarı zamanlı/mevcut değil = 0)</t>
  </si>
  <si>
    <t>Otoparkta devriye gezen ve farkedilebilir personel mevcut
(7/24 = 3, Erişim Saati sırasında = 2, Erişimden az Saat = 1, Hayır = 0)</t>
  </si>
  <si>
    <t>Kilitlenebilir araç girişi ve çıkışı:
(Erişim saatlerinden sonra kapalı kapı/sarmal kepenk = 2, Güvenli: gün içinde hızlı açılan kapı = 4, Güvenli: gündüz yavaş açılan kapı = 2, Hüküm yok = 0)</t>
  </si>
  <si>
    <t>Kilitlenebilir yaya çıkışı/girişi (çalışma saatlerinden sonra).
(Kapı/sarmal kepenk &lt;= 15cm maksimum açıklık = 2, 15 cm üzerinde = 0, hüküm yok = 0, İlgisiz (24 saat açma) = 4)</t>
  </si>
  <si>
    <t>Dış açıklıklardaki ızgaralar ve güvenlik ızgaralarında
(&lt;= 15 cm = 2, &gt; 15 cm veya korumasız= 0, İlgisiz (dış açıklık yok) = 2)</t>
  </si>
  <si>
    <t>İçeride ve Dışarıda Yön Bulma</t>
  </si>
  <si>
    <t>Boş Park Yerlerinin Belirlenmesi</t>
  </si>
  <si>
    <t>Park yeri katı (evet/iyi = 2, hayır/kötü = 0)</t>
  </si>
  <si>
    <t>Park sırası (evet/iyi = 1, hayır/kötü = 0)</t>
  </si>
  <si>
    <t>Bireysel durma göstergesi (evet/iyi = 2, hayır/kötü = 0)</t>
  </si>
  <si>
    <t xml:space="preserve">Araçlar İçin Yol Bulma </t>
  </si>
  <si>
    <t>Sürücüler için katlar açıkça ve ayrı ayrı tanımlanmış mı? (İyi =3, Yeterli =2, Zayıf =1, Hayır =0)</t>
  </si>
  <si>
    <t>Sürücüler için katların içerisindeki alanlar açıkça tanımlanmış mı? (İyi =3, Yeterli =2, Zayıf =1, Hayır =0)</t>
  </si>
  <si>
    <t>Yangın merdivenleri ve kaçış yolları açıkça işaretlenmiş mi?
• Tüm konumlardan açıkça görülür = 3
• çoğu konumdan açıkça görülür= 2
• bazı konumlardan açıkça görülür=1
• Kaçış yolları işareti yok=0)</t>
  </si>
  <si>
    <t>Zemin  açıkça işaretlenmiş mi?
(iyi =3, yeterli=2, zayıf=1, yok =0. Tek katlı otoparklar = 3)</t>
  </si>
  <si>
    <t>Park zemininde yayayı yönlendirmek için ek işaretler veya anımsatıcı var mı?
(iyi =2, biraz =1, yok = 0)</t>
  </si>
  <si>
    <t>Park yerleri ayrı ayrı numaralandırılmış mı?
(Kat tanımlaması dahil numaralandırılmış =2, Sadece sayılar =1, yok =0)</t>
  </si>
  <si>
    <t>Yolu bulmak için renklerin kullanımı
(Evet= 1, Hayır= 0)</t>
  </si>
  <si>
    <t>Otoparka giden yollarda arabalar için yönlendirme levhası</t>
  </si>
  <si>
    <t>Yalnızca statik işaret sistemi (Evet = 1, Hayır = 0)</t>
  </si>
  <si>
    <t>Ek olarak dinamik işaret sistemi (Mevcut alanlar = 2, Dolu/Boş = 1, Yok = 0)</t>
  </si>
  <si>
    <t>Otopark girişinde ışıklı tabela</t>
  </si>
  <si>
    <t>Sinyal yeşil ok, yön için kırmızı çarpı (Evet = 1, Hayır = 0)</t>
  </si>
  <si>
    <t>Ek olarak dinamik bilgi (Mevcut alanlar = 2, Dolu/Boş = 1, Hayır = 0)</t>
  </si>
  <si>
    <t>Yaya girişinde tabela (Evet = 1, Hayır = 0)</t>
  </si>
  <si>
    <t>Otoparkta merkezi bir yerde şehir planı:
(Her yaya çıkışında = 2, Bir konum = 1, Hayır = 0)</t>
  </si>
  <si>
    <t>Yönlendirme:</t>
  </si>
  <si>
    <t>yaya çıkışında otoparkın çevresindeki ilgi çekici noktalarda (Evet=1, Hayır=0):</t>
  </si>
  <si>
    <t>otopark çevresinde yaya girişlerine yakın (Evet=1, Hayır=0):</t>
  </si>
  <si>
    <t>Konfor ve Diğer</t>
  </si>
  <si>
    <t>Yaya giriş/çıkışlarında aşağıdakileri gösteren duyuru panosu:</t>
  </si>
  <si>
    <t>Çalışma saatleri normal/özel  (evet=1 hayır=0)</t>
  </si>
  <si>
    <t>Okunabilir ve anlaşılır tarife panosu (evet = 1, hayır = 0)</t>
  </si>
  <si>
    <t>İşletmeci hüküm ve koşulları (evet = 1, hayır = 0)</t>
  </si>
  <si>
    <t>Ödeme seçenekleri (çıkışta ödeme/otomatik ödeme istasyonunda ödeme):</t>
  </si>
  <si>
    <t>Nakit kabul ediyor mu? (evet =1, hayır =0)</t>
  </si>
  <si>
    <t>Ulusal Banka Kartlarını Kabul Eder mi? (evet=1, hayır=0)</t>
  </si>
  <si>
    <t>Uluslararası Banka ve Kredi Kartlarını Kabul Ediyor mu? (evet=1, hayır=0)</t>
  </si>
  <si>
    <t>Akıllı Telefonla Ödeme yapılabiliyor mu? (evet =1, hayır =0)</t>
  </si>
  <si>
    <t>Diğer Ödeme Biçimlerini Kabul Ediyor mu? Kaç tane? (3'e kadar ek seçenek başına 1 puan)</t>
  </si>
  <si>
    <t>Çıkışta ödeme seçenekleri:</t>
  </si>
  <si>
    <t>Banka kartları, ulusal kredi kartları geçerli mi? (evet =1, hayır =0)</t>
  </si>
  <si>
    <t>Uluslararası banka ve kredi kartları geçerli mi?(evet =1, hayır =0)</t>
  </si>
  <si>
    <t>Banka hesabına veya uygulamaya bağlı plaka tanıma var mı?(evet =1, hayır =0).</t>
  </si>
  <si>
    <t>Banka hesabına veya uygulamaya bağlı RFID cihazı (evet =1, hayır =0).</t>
  </si>
  <si>
    <t>Ulusal trafik düzenini kabul ediyor mu? (ör. Ücretli geçiş, toplu taşıma) (evet =1, hayır =0)</t>
  </si>
  <si>
    <t>Akıllı telefonla ödeme yapılabiliyor mu? (evet =1, hayır =0)</t>
  </si>
  <si>
    <t>Otomatik ödemelibiletsiz park işleminde giriş bariyeri otomatik olarak açılır: Uygulama ile uzaktan kontrol, banka hesabına bağlı Evet=1, hayır=0 Banka hesabına bağlı ANPR'ye göre Evet=1 ek</t>
  </si>
  <si>
    <t>Ödeme Noktaları</t>
  </si>
  <si>
    <t>Öde ve Göster Otoparkı mı?</t>
  </si>
  <si>
    <t>Bariyer kontrollü otoparklar için ödeme noktası sayısı: (Bir ödeme istasyonu = 0, Birden fazla =1, Yangın merdivenleri hariç her yaya girişinde bir tane =2, Her yaya girişinde birden fazla =3)"</t>
  </si>
  <si>
    <t>Öde ve Göster Otoparklar için Ödeme Noktası Sayısı
(Bir =0, &lt; Her 50 park yeri için 1 =2, &gt;Her 50 park yeri için 1 =3)</t>
  </si>
  <si>
    <t>Müşteri tuvaletleri:</t>
  </si>
  <si>
    <t>Mevcut mu? (evet= 2, hayır= 0)</t>
  </si>
  <si>
    <t>Engelli tuvaleti var mı? (evet=1, hayır= 0)</t>
  </si>
  <si>
    <t>unisex = 0, erkek/kadın ayrılmış = 1</t>
  </si>
  <si>
    <t>hizmetli var mı?: evet=1, hayır= 0</t>
  </si>
  <si>
    <t>Renklerin kullanımı/süsleme çalışmaları</t>
  </si>
  <si>
    <t>Renkli sütunlar =1, hayır/beton grisi = 0</t>
  </si>
  <si>
    <t>Renkli duvarlar =1, hayır/beton grisi = 0</t>
  </si>
  <si>
    <t>Ekstra süsleme</t>
  </si>
  <si>
    <t>Sanat Eseri: (Evet = 2, Hayır = 0)</t>
  </si>
  <si>
    <t>Bitkiler: (Evet = 1, Hayır = 0)</t>
  </si>
  <si>
    <t>Diğer: (Evet = 1, Hayır = 0)</t>
  </si>
  <si>
    <t>Cep telefonu kapsama alanı (Evet = 2, Hayır = 0)</t>
  </si>
  <si>
    <t>Radyo sinyallerinin sürekliliği (Evet = 1, Hayır = 0)</t>
  </si>
  <si>
    <t>Müzik</t>
  </si>
  <si>
    <t>Fon müziği: evet = 2, Hayır = 0</t>
  </si>
  <si>
    <t>Yol bulma için farklılaşma : evet =1, Hayır = 0</t>
  </si>
  <si>
    <t>Çöp Kovaları</t>
  </si>
  <si>
    <t>Yaya giriş/merdiven alanındaki çöp kutuları Evet =1, hayır=0</t>
  </si>
  <si>
    <t>Otopark katındaki çöp kutuları (&gt;100 park yeri başına 1) Evet=1, hayır=0</t>
  </si>
  <si>
    <t>Yerel ve çevrimiçi teslimatlar için teslim alma noktası: evet=1, hayır =0</t>
  </si>
  <si>
    <t>Enerji ve Çevre</t>
  </si>
  <si>
    <t>Enerji Tasarruflu Aydınlatma Sistemleri</t>
  </si>
  <si>
    <t>Güç Faktörü Kompanzasyonu (Evet=1, Hayır=0)</t>
  </si>
  <si>
    <t>Diğer Sistemler (Evet=1, Hayır=0)</t>
  </si>
  <si>
    <t>Hareket algılamaya göre ışıklandırma, kalan kalite (evet= 2, hayır= 0)</t>
  </si>
  <si>
    <t>Giriş alanında gün ışığı telafisi için uyarlanabilir aydınlatma
(evet= 2, hayır= 0)</t>
  </si>
  <si>
    <t>Gün ışığından park katındaki ortam ışığı koşullarına uyarlanabilir aydınlatma (evet= 2, hayır= 0, Alakasız (zemin altı) =2)"</t>
  </si>
  <si>
    <t>Çatıdaki güneş panelleri veya diğer yeşil enerji girişimleri (evet= 2, hayır= 0)</t>
  </si>
  <si>
    <t>Özel su arıtma sistemi:
• evet= 2, hayır= 0</t>
  </si>
  <si>
    <t xml:space="preserve">Gri su veya yağmur suyunun yeniden kullanımı
• evet= 2, hayır= 0
</t>
  </si>
  <si>
    <t>Elektrikli Araçlar genel şarj noktaları:</t>
  </si>
  <si>
    <t>EV şarj noktası ile donatılmış %10'dan fazla alan = 4, alanların %5-10'u = 3, alanların %2-%5'i = 2, alanların %2'sinden azı=1, Yok=0</t>
  </si>
  <si>
    <t>Şarj noktası başına ortalama kapasite &lt;4kW=0, 4-10kW=1, 10-20kW=2, &gt;20kW=3. Hızlı şarj cihazları &gt;50kW= 1 ek nokta</t>
  </si>
  <si>
    <t>100 alan başına toplam akıllı güç &lt;50kW=0, 50-100kW=1, 100-200kW=2, &gt;200kW=3</t>
  </si>
  <si>
    <t>Şarj noktaları, yangınla daha iyi mücadele edebilmek için giriş çevresine yerleştirildi. (evet =1, hayır =0)</t>
  </si>
  <si>
    <t>Rezervasyon sistemi ile entegre şarj noktası rezervasyonu: (evet =1, hayır =0)</t>
  </si>
  <si>
    <t>Mobilite Merkezleri</t>
  </si>
  <si>
    <t>Araç paylaşımı için tasarlanmış alanlar &gt;10 park yeri = 3; 5-10 park yeri =2; 1-5 park yeri = 1; yok =0</t>
  </si>
  <si>
    <t>Temizleme servis merkezi: 1 nokta</t>
  </si>
  <si>
    <t>Park alanından ayrılmış paylaşımlı bisikletler ve/veya e-scooterlar için nokta: &gt;10 birim =2, 1-10 birim=1, hiçbiri =0</t>
  </si>
  <si>
    <t>Hafif e-araçlar için şarj noktaları: &gt;10 =2, 1-10 =1, yok =0,</t>
  </si>
  <si>
    <t>Otopark alanı / bölgesi içinde erişimi yapılan bisiklet paylaşma: 1 puan daha az</t>
  </si>
  <si>
    <t>Geri dönüşüm yönergelerine göre inşa edilmiş yeni otopark (evet =1, hayır =0)</t>
  </si>
  <si>
    <t>Diğer çevresel girişimler: (evet =2, hayır =0)</t>
  </si>
  <si>
    <t>Eksi Puanlar</t>
  </si>
  <si>
    <t>Grafiti varlığı</t>
  </si>
  <si>
    <t>Merdiven Boşlukları (Evet= -2, Hayır= 0)</t>
  </si>
  <si>
    <t>Asansör (Evet= -2, Hayır= 0)</t>
  </si>
  <si>
    <t>Tuvaletler (Evet= -2, Hayır= 0)</t>
  </si>
  <si>
    <t>Park alanı (Evet= -2, Hayır= 0)</t>
  </si>
  <si>
    <t>Dış duvarlar (Evet= -2, Hayır= 0)</t>
  </si>
  <si>
    <t>Kirlilik</t>
  </si>
  <si>
    <t>Yayalar ve arabalar için girişin dış kısmı (Evet= -2, Hayır= 0)</t>
  </si>
  <si>
    <t>Düşük kaliteli boya işi</t>
  </si>
  <si>
    <t>Yatay işaretler (Evet= -2, Hayır= 0)</t>
  </si>
  <si>
    <t>Düşük kalite/bakım eksikliği (delikler, hasarlar)</t>
  </si>
  <si>
    <t>Katlar (Evet= -2, Hayır= 0)</t>
  </si>
  <si>
    <t>Duvarlar (Evet= -2, Hayır= 0)</t>
  </si>
  <si>
    <t>Durgun su kanıtı (Evet= -2, Hayır= 0)</t>
  </si>
  <si>
    <t>Kötü koku kanıtı</t>
  </si>
  <si>
    <t>Asansörler (Evet= -2, Hayır= 0)</t>
  </si>
  <si>
    <t>Park yeri zemini (Evet= -2, Hayır= 0)</t>
  </si>
  <si>
    <t>Doluluk göstergesi olmayan çıkmaz sokaktaki park yerlerinin %15'inden fazlası. (Evet= -5, Hayır=0)</t>
  </si>
  <si>
    <t>Çeşitli eleştiri noktaları (açıklama ekleyiniz)
[Örneğin. içi boş ses, gıcırdayan lastikler, istenmeyen ziyaretçiler vb.] -10'e kadar</t>
  </si>
  <si>
    <t>Zorunlu Durum Cezası 1.4 Uygulanır</t>
  </si>
  <si>
    <t>Bonus puanlar</t>
  </si>
  <si>
    <t>Otopark için ekstra hükümler</t>
  </si>
  <si>
    <t>Özel motosiklet alanı (Evet= 1, Hayır= 0)</t>
  </si>
  <si>
    <t>Müşterilerin kullanımına yönelik dolaplar (Evet= 1, Hayır= 0)</t>
  </si>
  <si>
    <t>Diğer yardımcılar (Evet= 1, Hayır= 0)</t>
  </si>
  <si>
    <t>Bisiklet kiralama (Evet= 1, Hayır= 0)</t>
  </si>
  <si>
    <t>Diğer Sürücü Yardımları (Evet= 1, Hayır= 0)</t>
  </si>
  <si>
    <t>Otomatlar (Evet= 1, Hayır= 0)</t>
  </si>
  <si>
    <t>Kalp Defibrilatörü (Evet= 1, Hayır= 0)</t>
  </si>
  <si>
    <t>İlk yardım eğitimi almış personel (Evet= 1, Hayır= 0)</t>
  </si>
  <si>
    <t>Gerçek zamanlı trafik verileri (Evet= 1, Hayır= 0)</t>
  </si>
  <si>
    <t>APDS standardını kullanarak Park Veri alışverişi (Evet=1, hayır=0)</t>
  </si>
  <si>
    <t>Diğer gerçek zamanlı erişilebilir bilgiler (ör. yerel olaylar) (Evet= 1, Hayır= 0)</t>
  </si>
  <si>
    <t>Yoğun saatlerde trafik kuyruklarından kaçınmak için önlemler (yani araba giriş/çıkışlarında gelgit şeridi) - (Evet= 3, Hayır= 0)</t>
  </si>
  <si>
    <t>Arabalar için yükseklik bariyeri veya dolu otopark uyarısından önce geri gitmeyi önleyen dönüş imkanı (Evet= 3, Hayır= 0)</t>
  </si>
  <si>
    <t>Müşteri hizmetleri masası (Evet= 1, Hayır= 0)</t>
  </si>
  <si>
    <t>Yürüyen merdivenler ve/veya yürüyen bantlar (Tüm katlardan tüm katlara=5, Bazı katlardan bazı katlara =3, Yürüyen Merdiven veya Yürüyen Bantsız = 0)"</t>
  </si>
  <si>
    <t>Park halindeki araçların bilet veya plaka ile yerinin belirlenmesi
(Evet= 1, Hayır= 0)</t>
  </si>
  <si>
    <t>ANPR kontrollü engelsiz park etme: 1 puan ekstra</t>
  </si>
  <si>
    <t>Yaya çıkışında park et&amp;sür ve /veya toplu taşıma noktası evet=1, hayır=0, otoparkta gösterilen gerçek hareket saatleri: 1 puan ekstra</t>
  </si>
  <si>
    <t>Otoparkın tahsis edilmiş bölgesinde otonom vale park hizmeti (AVP) desteği: Evet=5, hayır=0</t>
  </si>
  <si>
    <t>Diğer olumlu noktalar, örn. ekstra hizmetler, güler yüzlü personel,  duvar/zemin karoları, otoparkın şehir manzarasına iyi oturması vs. 10 ek bonus puana kadar. Açıkça tanımlama gerekir.</t>
  </si>
  <si>
    <t>Bina için bir yaşam bakım planı yayınlanıyor ve sürdürülüyor mu? Evet=1, hayır=)</t>
  </si>
  <si>
    <t>Binanın sürdürülebilirlik planı ve ekonomik ömrünü tamamladığında geri dönüşüm planı var mı? Evet=1, hayır=0</t>
  </si>
  <si>
    <t>Yaya bölgesinde günlük, aylık ve yıllık enerji kullanımı gösteriliyor mu? Evet=1, hayır=0</t>
  </si>
  <si>
    <t xml:space="preserve">Altın Ödül
</t>
  </si>
  <si>
    <t>Halka açık alanlarda asgari yükseklik,2.00 m. Bunun altındaki alçak kısımlar işaretlenmelidir / belirtilmelidir.</t>
  </si>
  <si>
    <t>Park alanlarının  %70'i en az 2,40m genişliğinde olmalıdır.</t>
  </si>
  <si>
    <t>Kattaki park alanında ortalama ışık seviyesi en az 50 Lüx</t>
  </si>
  <si>
    <t>Navigasyon Uygulamalarında Otopark Rehberi (evet = 2, hayır= 0)</t>
  </si>
  <si>
    <t>Sabah</t>
  </si>
  <si>
    <t>Öğleden sonra</t>
  </si>
  <si>
    <t>Akşam</t>
  </si>
  <si>
    <t>Güneşli</t>
  </si>
  <si>
    <t>Bulutlu</t>
  </si>
  <si>
    <t>Yağmur</t>
  </si>
  <si>
    <t>Gün batımı</t>
  </si>
  <si>
    <t>Gece</t>
  </si>
  <si>
    <t xml:space="preserve"> %50 - %75</t>
  </si>
  <si>
    <t>Yaklaşık %50</t>
  </si>
  <si>
    <t xml:space="preserve"> %25- %50</t>
  </si>
  <si>
    <t>Hata / Başarısız</t>
  </si>
  <si>
    <t>Evet</t>
  </si>
  <si>
    <t>Hayır</t>
  </si>
  <si>
    <t>İlgisiz / Konu dışı</t>
  </si>
  <si>
    <t>Açık işaretleme</t>
  </si>
  <si>
    <t>Tamamlanmamış işaretleme</t>
  </si>
  <si>
    <t>İşaretleme yok</t>
  </si>
  <si>
    <t>%0-%2</t>
  </si>
  <si>
    <t>%2-%5</t>
  </si>
  <si>
    <t>%5'in üstünde</t>
  </si>
  <si>
    <t>Koruma yok</t>
  </si>
  <si>
    <t>Giriş/çıkış alanında bordür yok</t>
  </si>
  <si>
    <t>Kaymaz</t>
  </si>
  <si>
    <t>Islakken kaygan</t>
  </si>
  <si>
    <t>Kolon park alanına girmiyor</t>
  </si>
  <si>
    <t>Duraklama alanı başlangıcındaki kolon</t>
  </si>
  <si>
    <t>Araba kapısının yanındaki kolon</t>
  </si>
  <si>
    <t>Duraklama alanı arkasındaki sütun ancak park alanına giriyor</t>
  </si>
  <si>
    <t>İyi kalite</t>
  </si>
  <si>
    <t>Temel / Sıradan Kalite</t>
  </si>
  <si>
    <t>Hiçbiri</t>
  </si>
  <si>
    <t>İyi</t>
  </si>
  <si>
    <t>Orta</t>
  </si>
  <si>
    <t>Kötü</t>
  </si>
  <si>
    <t>76°-90° açı</t>
  </si>
  <si>
    <t>45°-75° açı</t>
  </si>
  <si>
    <t>2.50 m'nin üstünde</t>
  </si>
  <si>
    <t>Tablo ile uyumlu</t>
  </si>
  <si>
    <t>En fazla 30 cm'ye kadar az</t>
  </si>
  <si>
    <t>En fazla 60 cm'ye kadar az</t>
  </si>
  <si>
    <t>60 cm'den daha az</t>
  </si>
  <si>
    <t>Bordür yok</t>
  </si>
  <si>
    <t>Düzgün / Pürüzsüz</t>
  </si>
  <si>
    <t>Rampa yok</t>
  </si>
  <si>
    <t>%10'dan az</t>
  </si>
  <si>
    <t>%10-15</t>
  </si>
  <si>
    <t>%15'ten fazla</t>
  </si>
  <si>
    <t>Rampa Yok</t>
  </si>
  <si>
    <t>3m'den az</t>
  </si>
  <si>
    <t>3,3 m'den fazla</t>
  </si>
  <si>
    <t>rampa yok</t>
  </si>
  <si>
    <t>4m'den az</t>
  </si>
  <si>
    <t>4,3 m'den fazla</t>
  </si>
  <si>
    <t>9m'den az</t>
  </si>
  <si>
    <t>10 metreden fazla</t>
  </si>
  <si>
    <t>7,5 m'den az</t>
  </si>
  <si>
    <t>7,5 m ila 9 m</t>
  </si>
  <si>
    <t>9 m'den fazla</t>
  </si>
  <si>
    <t>%5'ten az</t>
  </si>
  <si>
    <t>%5 ila %7</t>
  </si>
  <si>
    <t>%7'den fazla</t>
  </si>
  <si>
    <t>Eğim Yok</t>
  </si>
  <si>
    <t>2.00m'den az</t>
  </si>
  <si>
    <t>2.20m'den fazla</t>
  </si>
  <si>
    <t>Evet (otomatik veya açık bağlantı)</t>
  </si>
  <si>
    <t>Açması kolay</t>
  </si>
  <si>
    <t>Bir asansör</t>
  </si>
  <si>
    <t>İki veya daha fazla asansör</t>
  </si>
  <si>
    <t>8'den fazla kişi</t>
  </si>
  <si>
    <t>4 ila 8 kişi</t>
  </si>
  <si>
    <t>4'ten az</t>
  </si>
  <si>
    <t>asansörden görüş yok</t>
  </si>
  <si>
    <t>camlı kapılar/duvarlar</t>
  </si>
  <si>
    <t>asansör yok</t>
  </si>
  <si>
    <t>1,5 m'den az</t>
  </si>
  <si>
    <t>1,5 m'den fazla</t>
  </si>
  <si>
    <t>90 cm'den az</t>
  </si>
  <si>
    <t>90 cm'den fazla</t>
  </si>
  <si>
    <t>Camlı kapı/duvar</t>
  </si>
  <si>
    <t>cam yok</t>
  </si>
  <si>
    <t>Trabzan yok</t>
  </si>
  <si>
    <t>Tek taraf</t>
  </si>
  <si>
    <t>İki taraf</t>
  </si>
  <si>
    <t>pencere/ızgara</t>
  </si>
  <si>
    <t>Yok</t>
  </si>
  <si>
    <t>7/24</t>
  </si>
  <si>
    <t>7/24 değilse tüm erişim saatleri</t>
  </si>
  <si>
    <t>Yarı zamanlı / müsait değil</t>
  </si>
  <si>
    <t>Erişim saatleri sırasında</t>
  </si>
  <si>
    <t>Erişim saatlerinden daha az</t>
  </si>
  <si>
    <t>Erişim saatlerinden sonra kapanan kapı/sarmal kepenk</t>
  </si>
  <si>
    <t>Güvenli: gün içinde hızlı açılan kapı</t>
  </si>
  <si>
    <t>Güvenli: gün içinde yavaş açılan kapı</t>
  </si>
  <si>
    <t>Hüküm yok</t>
  </si>
  <si>
    <t>Maksimum kapı/sarmal kepenk açıklığı &lt;= 15cm</t>
  </si>
  <si>
    <t>Maksimum kapı/sarmal kepenk açıklığı &gt; 15cm</t>
  </si>
  <si>
    <t>hüküm yok</t>
  </si>
  <si>
    <t>Alakasız (24 saat açık)</t>
  </si>
  <si>
    <t>15 cm'den az 15 cm</t>
  </si>
  <si>
    <t>15 cm'den fazla veya koruma yok</t>
  </si>
  <si>
    <t>Alakasız (dışa açılma yok)</t>
  </si>
  <si>
    <t>Evet /iyi</t>
  </si>
  <si>
    <t>Hayır/Kötü</t>
  </si>
  <si>
    <t>Yeterli</t>
  </si>
  <si>
    <t>Zayıf</t>
  </si>
  <si>
    <t>Tüm konumlardan temizle</t>
  </si>
  <si>
    <t>Çoğu yerden temizle</t>
  </si>
  <si>
    <t>Bazı konumlardan temizle</t>
  </si>
  <si>
    <t>Kaçış yollarının işaretli değil</t>
  </si>
  <si>
    <t>Tek Katlı Otopark</t>
  </si>
  <si>
    <t>Bazı</t>
  </si>
  <si>
    <t>kat numaraları dahil numaralandırılmış</t>
  </si>
  <si>
    <t>sadece sayılar</t>
  </si>
  <si>
    <t>Müsait Alanlar</t>
  </si>
  <si>
    <t>Tam/Ücretsiz</t>
  </si>
  <si>
    <t>Her yaya çıkışında</t>
  </si>
  <si>
    <t>Tek Konum</t>
  </si>
  <si>
    <t>ANPR banka hesabına bağlı</t>
  </si>
  <si>
    <t>Bir ödeme noktası</t>
  </si>
  <si>
    <t>Birden fazla</t>
  </si>
  <si>
    <t>Her yaya girişinde bir tane</t>
  </si>
  <si>
    <t>Her yaya girişinde birden fazla</t>
  </si>
  <si>
    <t>Bir</t>
  </si>
  <si>
    <t>Her 50 park yeri için 1'den az</t>
  </si>
  <si>
    <t>Her 50 park yeri için 1'den fazla</t>
  </si>
  <si>
    <t>Uniseks</t>
  </si>
  <si>
    <t>Erkek/Kadın Ayrılmış</t>
  </si>
  <si>
    <t>renkli sütunlar</t>
  </si>
  <si>
    <t>Yok/Beton grisi</t>
  </si>
  <si>
    <t>renkli duvarlar</t>
  </si>
  <si>
    <t>Alakasız (Zemin Altı)</t>
  </si>
  <si>
    <t>%10'dan fazla</t>
  </si>
  <si>
    <t>%5 ile %10 arasında</t>
  </si>
  <si>
    <t>%2 ile %5 arasında</t>
  </si>
  <si>
    <t>%2'den az</t>
  </si>
  <si>
    <t>4kW'dan az</t>
  </si>
  <si>
    <t>4kW ile 10kW arasında</t>
  </si>
  <si>
    <t>10kW ile 20kW arasında</t>
  </si>
  <si>
    <t>20kW'dan fazla</t>
  </si>
  <si>
    <t>50kW'dan fazla</t>
  </si>
  <si>
    <t>50kW'dan az</t>
  </si>
  <si>
    <t>50kW ile 100kW arasında</t>
  </si>
  <si>
    <t>100kW ile 200kW arasında</t>
  </si>
  <si>
    <t>200kW'dan fazla</t>
  </si>
  <si>
    <t>10'dan fazla park yeri</t>
  </si>
  <si>
    <t>5 ila 10 park yeri</t>
  </si>
  <si>
    <t>1'den 5'e kadar park yeri</t>
  </si>
  <si>
    <t>10'dan fazla</t>
  </si>
  <si>
    <t>1'den 10'a</t>
  </si>
  <si>
    <t>Tüm katlardan tüm katlara</t>
  </si>
  <si>
    <t>Bazı katlardan bazı katlara</t>
  </si>
  <si>
    <t>Yürüyen Merdiven veya Yürüyen Bant Yok</t>
  </si>
  <si>
    <t>Kalkış saatleri gösteriliyor</t>
  </si>
  <si>
    <t>Tarih</t>
  </si>
  <si>
    <t>Dil</t>
  </si>
  <si>
    <t>Ülke</t>
  </si>
  <si>
    <t>Otoparkın Adı</t>
  </si>
  <si>
    <t>Şehir</t>
  </si>
  <si>
    <t>Park yeri sayısı</t>
  </si>
  <si>
    <t>İşletmeci</t>
  </si>
  <si>
    <t>Kontakt Kişi</t>
  </si>
  <si>
    <t>e-posta</t>
  </si>
  <si>
    <t>Jüri / Denetmen Adı</t>
  </si>
  <si>
    <t>Değerlendirme Koşulları</t>
  </si>
  <si>
    <t>Saat</t>
  </si>
  <si>
    <t>Hava koşulları</t>
  </si>
  <si>
    <t>Doluluk oranı</t>
  </si>
  <si>
    <t>Tamamlanmış</t>
  </si>
  <si>
    <t>Tamamlanmamış</t>
  </si>
  <si>
    <t>Uyumlu</t>
  </si>
  <si>
    <t>Yorumlar</t>
  </si>
  <si>
    <t>Başarısız Öğeler:</t>
  </si>
  <si>
    <t>Değerlendirilmedi:</t>
  </si>
  <si>
    <t>Geçmek</t>
  </si>
  <si>
    <t>Başarısız</t>
  </si>
  <si>
    <t>eksik</t>
  </si>
  <si>
    <t>Tüm nesneler</t>
  </si>
  <si>
    <t>Toplam Öğeler + Alt Öğeler</t>
  </si>
  <si>
    <t>Öğeler Tamamlandı</t>
  </si>
  <si>
    <t>Ölçülmedi</t>
  </si>
  <si>
    <t>Puan</t>
  </si>
  <si>
    <t>En yüksek puan</t>
  </si>
  <si>
    <t>Yüzde</t>
  </si>
  <si>
    <t>Kategori Değeri</t>
  </si>
  <si>
    <t>Küresel Değerlendirme</t>
  </si>
  <si>
    <t>Kategori</t>
  </si>
  <si>
    <t>Öğe Sayısı</t>
  </si>
  <si>
    <t>Başarısızlık Sayısı</t>
  </si>
  <si>
    <t>Tamamlanacak</t>
  </si>
  <si>
    <t>Elde edilen %</t>
  </si>
  <si>
    <t>Asgari</t>
  </si>
  <si>
    <t>Kategori Puanları</t>
  </si>
  <si>
    <t>Elde Edilen Puanlar</t>
  </si>
  <si>
    <t>Durum</t>
  </si>
  <si>
    <t>Tamamlama %:</t>
  </si>
  <si>
    <t>ara toplamlar</t>
  </si>
  <si>
    <t>toplamlar</t>
  </si>
  <si>
    <t>ESPA Ödülü için Asgari Gereklilik</t>
  </si>
  <si>
    <t>Kategoriler Minimum Puan</t>
  </si>
  <si>
    <t>Espa Ödülü</t>
  </si>
  <si>
    <t>Madde / Öge listesi</t>
  </si>
  <si>
    <t>Ölçülmüş değer</t>
  </si>
  <si>
    <t>Final Puanı için Maksimum Katkı</t>
  </si>
  <si>
    <t>Final Puanına Katkı</t>
  </si>
  <si>
    <t>Açıklamalar</t>
  </si>
  <si>
    <t>notlar</t>
  </si>
  <si>
    <t>Bu, ESPA Çalışma Sayfasındaki tüm verileri silecektir. Emin misiniz?</t>
  </si>
  <si>
    <t>Yanlış bir şifre girdiniz. ESPA Çalışma Sayfaları korunmasız olamaz.</t>
  </si>
  <si>
    <t>Lütfen ESPA Çalışma Sayfası için şifrenizi giriniz:</t>
  </si>
  <si>
    <t>Şifre Girişi</t>
  </si>
  <si>
    <t>Yanlış parola</t>
  </si>
  <si>
    <t>Aktif yazıcınızda 15 sayfa yazdırılacaktır. Emin misiniz?</t>
  </si>
  <si>
    <t>Uyarı</t>
  </si>
  <si>
    <t>Dili değiştirmek, önceki cevaplarınızı sıfırlayacaktır. Devam etmek istiyor musunuz?</t>
  </si>
  <si>
    <t>Altın Ödül için Zorunlu Koşullar</t>
  </si>
  <si>
    <t>ESPA Altın Ödülü</t>
  </si>
  <si>
    <t>Küresel Değerlendirme - Altın Ödül</t>
  </si>
  <si>
    <t>ESPA Çalışma Sayfası Makroları kullanır. Lütfen içeriği etkinleştirin veya Makrolar Etkin durumdayken kapatıp yeniden açın</t>
  </si>
  <si>
    <t>Yapım Yılı</t>
  </si>
  <si>
    <t>Yapı</t>
  </si>
  <si>
    <t>Tür / Tip</t>
  </si>
  <si>
    <t>Kontrol Sistemine Erişim</t>
  </si>
  <si>
    <t>Asansör sayısı</t>
  </si>
  <si>
    <t>Kat sayısı</t>
  </si>
  <si>
    <t>Otoparkın Temel Nitelikleri</t>
  </si>
  <si>
    <t>Tamam sayısı</t>
  </si>
  <si>
    <t>Die Parkeinrichtung muss öffentlich sein.</t>
  </si>
  <si>
    <t>Mindestdurchfahrtshöhe = 1,90m im öffentlich zugänglichen Bereich. Einzelne niedrigere Stellen müssen deutlich gekennzeichnet sein.</t>
  </si>
  <si>
    <t>Es muss mindestens eine getrennte Ein- und Ausfahrtsspur vorhanden sein. Zusätzliche, tageszeitlich in wechselnder Fahrtrichtung genutzte Wechselspuren sind zulässig.</t>
  </si>
  <si>
    <t>70% der Stellplätze müssen zumindest 2,30m breit sein. Für renovierte Betriebe, die über 10 Jahre alt sind, beträgt die Mindestbreite 2,25 m ( in diesem Fall kommt ein Punkteabzug zur Anwendung - siehe M8)</t>
  </si>
  <si>
    <t>Alle geraden Rampen mit Einbahnverkehr müssen mindestens 2,70 m breit sein. Rampen mit Gegenverkehr müssen mindestens 6,00 m breit sein und eine Fahrbahnmarkierung aufweisen. Die Messung erfolgt zwischen den Wänden oder Säulen.</t>
  </si>
  <si>
    <t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t>
  </si>
  <si>
    <t>Rampen dürfen eine Steigung von 20% nicht überschreiten. Die Messung erfolgt in der Mitte der Fahrspur. Bei gekrümmten Rampen mit Gegenverkehr gilt das für die innere (steilste) Spur.</t>
  </si>
  <si>
    <t>Wenn der Parkbetrieb entgeltlich geführt wird und die Bewirtschaftung über Schrankensysteme oder Tore erfolgt, muss Personal an den Bezahl-, Ausfahrts- und Zugangspunkten erreichbar sein.</t>
  </si>
  <si>
    <t>Die durchschnittliche Ausleuchtung der Parkfläche (am Boden gemessen) beträgt mind. 20 Lux.</t>
  </si>
  <si>
    <t>Einfahrtsbereich; Messung am Boden
•  Über 200 Lux = 5;
•  Zwischen 75 - 200 Lux = 0,04 pt pro Lux über 75  
•  Unter 75 Lux = 0</t>
  </si>
  <si>
    <t>Einfahrt; in 1 m Höhe neben dem Ticketgeber
•  Über 200 Lux = 3;
•  Zwischen 100 - 200 Lux = 0,03 pt pro Lux über 100
•  Unter 100 Lux = 0</t>
  </si>
  <si>
    <t>Ausfahrt; in 1 m Höhe neben der Ausfahrtssäule
•  Über 200 Lux = 3;
•  Zwischen 100 - 200 Lux = 0,03 pt pro Lux über 100
•  Unter 100 Lux = 0</t>
  </si>
  <si>
    <t>Am Bezahlautomaten; in 1 m Höhe
•  Über 200 Lux = 4;
•  Zwischen 100 - 200 Lux = 0,04 pt pro Lux über 100
•  Unter 100 Lux = 0;
•  Kein Bezahlautomat = wie Ausfahrt (in diesem Fall "0" eingeben)</t>
  </si>
  <si>
    <t>An der Kasse; in Höhe des Kundenschalters
•  Über 200 Lux = 4;
•  Zwischen 100 - 200 Lux = 0,04 pt pro Lux über 100
•  Unter 100 Lux = 0;
•  Keine Kassenstation = 3  (in diesem Fall "0" eingeben)</t>
  </si>
  <si>
    <t>Im Aufzug; gesmessen am Boden
•  Über 70 Lux = 4;
•  Zwischen 30 - 70 Lux = 0,1 pt pro Lux über 30
•  Unter 30 Lux = 0;
•  Nur eine Parkebene ohne Aufzug = 3 (in diesem Fall "0" eingeben)</t>
  </si>
  <si>
    <t>In Treppenhäusern und allen Fußgängerbereichen; gemessen am Boden
•  Über 90 Lux = 3;
•  Zwischen 30 - 90 Lux = 0,05 pt pro Lux über 30
•  Unter 30 Lux = 0;</t>
  </si>
  <si>
    <t>Ausleuchtung der Parkfläche; gemessen am Boden: (Bitte die Tabelle ausfüllen) 
Durchschnittliche Ausleuchtung des Bereichs:
•  Über 100 Lux= 10;
•  Zwischen 20– 100 Lux: 0,125 pt pro Lux über 20 
•  Unter 20 Lux= 0</t>
  </si>
  <si>
    <t>Gleichmäßigkeit der Ausleuchtung (Standardabweichung)
•  Unter 25% vom Durchschnitt = 10;
•  Zwischen 25 - 50% = 0,4 pt pro % unter 50%
•  Über 50% =  0</t>
  </si>
  <si>
    <t>Fahrbahnrand unter / zwischen Leuchtmittel</t>
  </si>
  <si>
    <t>Gegenüberliegender Fahrbahnrand unter / zwischen Leuchtmittel</t>
  </si>
  <si>
    <t>Durchfahrtshöhe:
(ein zusätzlicher Punkt je 10 cm über 1,90 m bis 2,20 m)</t>
  </si>
  <si>
    <t>Nutzungs- und Einstellbedingungen des Betreibers</t>
  </si>
  <si>
    <t>Einfahrt: Gute Erreichbarkeit des Ticketgebers:</t>
  </si>
  <si>
    <t>Ausfahrt: Gute Erreichbarkeit des Ticketlesers:</t>
  </si>
  <si>
    <t>Längsneigung bei den Ein- / Ausfahrtsterminals</t>
  </si>
  <si>
    <t>Einfahrt:
• 0 - 2% (Fahrzeug bewegt sich ungebremst nicht) = 1
• 2 - 5% = 0
• Über 5% = -1</t>
  </si>
  <si>
    <t>Ausfahrt:
• 0 - 2% (Fahrzeug bewegt sich ungebremst nicht) = 1
• 2 - 5% = 0
• Über 5% = -1</t>
  </si>
  <si>
    <t>Design der Schrammborde, um Schaden an den Fahrzeugrädern zu verhindern:
(Ja = 2, kein Schutz = 0, keine Schrammborde in Ein-/Ausfahrt = 2)</t>
  </si>
  <si>
    <t>Rutschfeste Oberfläche in der Ein- und Ausfahrt: (vorhanden = 1, Rutschgefahr bei Nässe= 0)</t>
  </si>
  <si>
    <t>Zufahrtskontrolle</t>
  </si>
  <si>
    <t>Ein- / Ausfahrtsbreiten: Durchfahrtsbreite zwischen Bauteilen/Schrammborden pro Spur (&lt; 3 m = 0; 3 - 3,30 m = 1; &gt; 3,30 m = 2)</t>
  </si>
  <si>
    <t>Die durchschnittliche Ausleuchtung der Parkfläche (am Boden gemessen) beträgt mind. 50 Lux.</t>
  </si>
  <si>
    <t>Max. Durchfahrtshöhe ist an der Einfahrt angegeben</t>
  </si>
  <si>
    <t>Korrekte Einfahrtsbeschilderung</t>
  </si>
  <si>
    <t xml:space="preserve">Höhenkontrollbalken </t>
  </si>
  <si>
    <t>Les rampes courbes pour un traffic unidirectionnel doivent présenter un radius externe de minimim 8,00m avec des voies de minimum 3,50m de large.
Pour des courbes bidirectionnelles, les mesures sont d'application pour la voie intérieure de la courbe. La voie extérieure doit être de minimum 3,50m de large.</t>
  </si>
  <si>
    <t>La signalisation indiquant la sortie du parking, est-elle claire,complète et sans ambiguité?</t>
  </si>
  <si>
    <t>Le marquage des emplacements: est-il prolongé sur les murs pour assister le conducteur?</t>
  </si>
  <si>
    <t>Le marquage routier est-il:</t>
  </si>
  <si>
    <t>Disponibilité de places pour personnes à mobilité réduite annoncée à l'entrée du parking</t>
  </si>
  <si>
    <t>Largeur des emplacements (pour au moins 85 % de ceux-ci), A ou B: 
A: Angle de 76 à 90 degrés
(2.25m = -5, 2.30m = 0, 2.35m = 2, 2.40m = 4, 2.45m = 6, 2.50m = 8) 
B: Angle de 45 à 75 degrés
(2.25m = -5, 2.30m = 1, 2.35m = 3, 2.40m = 5, 2.45m = 8)
La largeur de 2,25m est uniquement applicable pour d'anciens parkings rénovés, les nouveaux parkings doivent présenter une largeur minimum de 2,30m)</t>
  </si>
  <si>
    <t>Largeur des rampes (entre les bordures) mesurées aux points les plus étroits.</t>
  </si>
  <si>
    <t>Fermeture des entrées/sorties des véhicules: 
(Portail ou volets fermés après heures d'ouverture = 2, Mécanisme de fermeture sécurisé rapide durant les heures d'ouverture = 4, Mécanisme de fermeture sécurisé lent durant les heures d'ouverture = 2, Pas de mécanisme = 0)</t>
  </si>
  <si>
    <t>Signalisation dynamique supplémentaire  (Nombre de places disponibles  = 2, Libre/Complet = 1, Absent = 0)</t>
  </si>
  <si>
    <t>Autres cartes nationales acceptées (par.ex: péage,transport public) (Oui =1, Non =0)</t>
  </si>
  <si>
    <t>La moyenne de la luminosité des emplacements au niveau du sol doit être de 50 lux.</t>
  </si>
  <si>
    <t>Plus de 75%</t>
  </si>
  <si>
    <t>Entre 50% - 75%</t>
  </si>
  <si>
    <t>Entre 25% - 50%</t>
  </si>
  <si>
    <t>Moins de 25%</t>
  </si>
  <si>
    <t>Pas de bordures dans la zone entrée/sortie</t>
  </si>
  <si>
    <t>Moins de 3 m</t>
  </si>
  <si>
    <t>Entre 3m - 3.3m</t>
  </si>
  <si>
    <t>Plus de 3.3m</t>
  </si>
  <si>
    <t>Pas de bordures</t>
  </si>
  <si>
    <t>Moins de 10%</t>
  </si>
  <si>
    <t>Entre 10-15%</t>
  </si>
  <si>
    <t>Plus de 15%</t>
  </si>
  <si>
    <t>Moins de 3m</t>
  </si>
  <si>
    <t>Moins de 4m</t>
  </si>
  <si>
    <t>Entre 4m - 4.3m</t>
  </si>
  <si>
    <t>Plus de 4.3m</t>
  </si>
  <si>
    <t>Moins de 9m</t>
  </si>
  <si>
    <t>Entre 9m – 10m</t>
  </si>
  <si>
    <t>Plus de 10m</t>
  </si>
  <si>
    <t>Moins de 7,5m</t>
  </si>
  <si>
    <t>Entre 7,5m - 9m</t>
  </si>
  <si>
    <t>Plus de 9m</t>
  </si>
  <si>
    <t>Moins de 5%</t>
  </si>
  <si>
    <t>Entre 5% – 7%</t>
  </si>
  <si>
    <t>Plus de 7%</t>
  </si>
  <si>
    <t>Moins de 2.00m</t>
  </si>
  <si>
    <t>Entre 2.00m – 2.10m</t>
  </si>
  <si>
    <t>Entre 2.10m – 2.20m</t>
  </si>
  <si>
    <t>Plus de 2.20m</t>
  </si>
  <si>
    <t>Moins de  1.5 m</t>
  </si>
  <si>
    <t>Plus de 1.5 m</t>
  </si>
  <si>
    <t>Moins de 90 cm</t>
  </si>
  <si>
    <t>Plus de 90 cm</t>
  </si>
  <si>
    <t>Moins de 15 cm</t>
  </si>
  <si>
    <t>Plus de 15 cm ou pas de protection</t>
  </si>
  <si>
    <t>Moins de 1 par 50 places</t>
  </si>
  <si>
    <t>Plus de 1 par 50 places</t>
  </si>
  <si>
    <t>Bescherming aan kolommen om schade aan auto's te voorkomen: goed=2, matig=1, geen=0, irrelevant, kolommen buiten parkeervak =2</t>
  </si>
  <si>
    <t>Afvalbakken op de parkeervloer (&gt;1per 100 plaatsen): Ja =1, nee =0</t>
  </si>
  <si>
    <t xml:space="preserve"> meer dan 75%</t>
  </si>
  <si>
    <t>minder dan 25%</t>
  </si>
  <si>
    <t>Meer dan 5%</t>
  </si>
  <si>
    <t xml:space="preserve"> smaller dan 3 m</t>
  </si>
  <si>
    <t xml:space="preserve"> breder dan  3.3m</t>
  </si>
  <si>
    <t>Meer dan 60 cm afwijking</t>
  </si>
  <si>
    <t>minder dan10%</t>
  </si>
  <si>
    <t>Meer dan15%</t>
  </si>
  <si>
    <t>smaller dan 3m</t>
  </si>
  <si>
    <t>breder dan 3.3m</t>
  </si>
  <si>
    <t>smaller dan 4m</t>
  </si>
  <si>
    <t>breder dan 4.3m</t>
  </si>
  <si>
    <t>kleiner dan 9m</t>
  </si>
  <si>
    <t>groter dan 10m</t>
  </si>
  <si>
    <t>minder dan 7,5m</t>
  </si>
  <si>
    <t>meer dan 9m</t>
  </si>
  <si>
    <t>Minder dan 5%</t>
  </si>
  <si>
    <t>Meer dan 7%</t>
  </si>
  <si>
    <t>Lager dan 2.00m</t>
  </si>
  <si>
    <t>Hoger dan 2.20m</t>
  </si>
  <si>
    <t>Smaller dan 1.5 m</t>
  </si>
  <si>
    <t>Breder 1.5 m</t>
  </si>
  <si>
    <t>Smaller dan 90 cm</t>
  </si>
  <si>
    <t>Breder dan 90 cm</t>
  </si>
  <si>
    <t>Kleiner dan 15 cm</t>
  </si>
  <si>
    <t>Groter dan 15 cm of geen beveiliging</t>
  </si>
  <si>
    <t>Minder dan1 per 50 plaatsen</t>
  </si>
  <si>
    <t>Meer dan1 per 50 plaatsen</t>
  </si>
  <si>
    <t>Meer dan 10% van de plaatsen</t>
  </si>
  <si>
    <t>minder dan 2% van de plaatsen</t>
  </si>
  <si>
    <t>Minder dan 4kW</t>
  </si>
  <si>
    <t>Meer dan 20kW</t>
  </si>
  <si>
    <t>Minder dan 50kW</t>
  </si>
  <si>
    <t>Meer dan 200kW</t>
  </si>
  <si>
    <t>Meer dan 10 plaatsen</t>
  </si>
  <si>
    <t>Meer dan 10 stuks</t>
  </si>
  <si>
    <t>Weniger als 25 %</t>
  </si>
  <si>
    <t>Mehr als 25 %</t>
  </si>
  <si>
    <t>Mais de 75%</t>
  </si>
  <si>
    <t>Inferior a 25%</t>
  </si>
  <si>
    <t>%25'ten fazla</t>
  </si>
  <si>
    <t>%25'ten az</t>
  </si>
  <si>
    <t>weniger als 3 m</t>
  </si>
  <si>
    <t>mehr als 3,3 m</t>
  </si>
  <si>
    <t>Menos de 3 m</t>
  </si>
  <si>
    <t>Mais de 3.3 m</t>
  </si>
  <si>
    <t>3,3 metreden fazla</t>
  </si>
  <si>
    <t>weniger als 4 m</t>
  </si>
  <si>
    <t>mehr als 3.3 m</t>
  </si>
  <si>
    <t>weniger als 9 m</t>
  </si>
  <si>
    <t>mehr als 10m</t>
  </si>
  <si>
    <t>Weniger als 7,5 m</t>
  </si>
  <si>
    <t>Zwischen 7,5 m und 9 m</t>
  </si>
  <si>
    <t>Mehr als 9m</t>
  </si>
  <si>
    <t>Sem gradiente</t>
  </si>
  <si>
    <t>weniger als 5%</t>
  </si>
  <si>
    <t>Zwischen 5 % und 7 %</t>
  </si>
  <si>
    <t>mehr als 7%</t>
  </si>
  <si>
    <t>Menos de 3m</t>
  </si>
  <si>
    <t>Mais que 3.3 m</t>
  </si>
  <si>
    <t>weniger als 2m</t>
  </si>
  <si>
    <t>mehr als 2.20 m</t>
  </si>
  <si>
    <t>weniger als 1,5 m</t>
  </si>
  <si>
    <t>mehr als 1,5 m</t>
  </si>
  <si>
    <t>weniger als 90cm</t>
  </si>
  <si>
    <t>größer oder gleich 90 cm</t>
  </si>
  <si>
    <t>kleiner oder gleich 15 cm</t>
  </si>
  <si>
    <t>größer als 15 cm oder kein Sicherung</t>
  </si>
  <si>
    <t>weniger als 1 pro 50 Stellplätze</t>
  </si>
  <si>
    <t>superior a 1 para cada 50 lugares</t>
  </si>
  <si>
    <t>größer als 1 pro 50 Stellplätze</t>
  </si>
  <si>
    <t>Mehr als 10%</t>
  </si>
  <si>
    <t>weniger als 2%</t>
  </si>
  <si>
    <t>Wymagane warunki minimalne.</t>
  </si>
  <si>
    <t>Parking musi być przeznaczony do użytku publicznego.</t>
  </si>
  <si>
    <t>Minimalny prześwit = 1,90 m. Przypadkowe niżej położone przeszkody muszą być wyraźnie oznaczone.</t>
  </si>
  <si>
    <t>Musi istnieć co najmniej jeden wydzielony pas wjazdu i wyjazdu, chociaż dozwolone są także dodatkowe pasy.</t>
  </si>
  <si>
    <t>70% zatok musi mieć szerokość co najmniej 2,30m. W przypadku remontowanych parkingów, starszych niż 10 lat, dopuszczalna jest minimalna szerokość zatoki 2,25m (w takim przypadku obowiązuje kara - sprawdź M8)</t>
  </si>
  <si>
    <t>Wszystkie proste rampy dla ruchu jednokierunkowego muszą mieć minimum 2,7 metra szerokości. Rampy dwukierunkowe muszą mieć co najmniej 6 m szerokości z oznaczeniami pasów ruchu. Szerokość rampy mierzona jest między ścianami lub filarami.</t>
  </si>
  <si>
    <t>Zakrzywione rampy dla ruchu jednokierunkowego muszą mieć promień zewnętrzny minimum 8,00 metrów i szerokość pasa minimum 3,5 metra. W przypadku dwukierunkowych zakrzywionych ramp dotyczy to wewnętrznego pasa ruchu. Również zewnętrzny pas ruchu musi mieć szerokość minimum 3,5 metra.</t>
  </si>
  <si>
    <t>Nachylenie rampy nie może przekraczać 20%, mierzone na środku pasa ruchu. Na dwukierunkowych zakrzywionych rampach dotyczy to wewnętrznego (najbardziej stromego) pasa ruchu.</t>
  </si>
  <si>
    <t>Jeżeli parking jest płatny, a dostęp do niego jest kontrolowany przez szlabany lub bramy, pracownicy muszą być dostępni w punkcie poboru opłat/wyjazdu oraz przy zabezpieczonych wejściach dla pieszych.</t>
  </si>
  <si>
    <t>Na żądanie należy przedstawić dowód zapłaty za parking.</t>
  </si>
  <si>
    <t>Wszystkie manewry zawracania muszą być możliwe do wykonania bez konieczności cofania (z wyłączeniem wjazdu i wyjazdu z zatoki parkingowej i skrzyżowań).</t>
  </si>
  <si>
    <t>Średnie natężenie światła na parkingu przy podłodze musi wynosić co najmniej 20 luksów.</t>
  </si>
  <si>
    <t>Oświetlenie</t>
  </si>
  <si>
    <t>Obszar wjazdu pojazdów; na poziomie podłogi:
•  Powyżej 200 Lux = 5,
•  Między 75– 200 Lux: 0,04 pkt za każdy Lux powyżej 75,
•  Poniżej 75 Lux = 0.</t>
  </si>
  <si>
    <t>Wjazd; na wysokości 1 m w pobliżu szlabanu/automatu biletowego:
•  Powyżej 200 Lux = 3,
•  Między 100 – 200 Lux: 0,03 pkt za każdy Lux powyżej 100,
•  Poniżej 100 Lux = 0.</t>
  </si>
  <si>
    <t>Wyjazd; na wysokości 1 m w pobliżu szlabanu/automatu biletowego:
•  Powyżej 200 Lux = 3,
•  Między 100– 200 Lux: 0,03 pkt za każdy Lux powyżej 100,
•  Poniżej 100 Lux = 0.</t>
  </si>
  <si>
    <t>Przy automacie płatniczym, na wysokości 1 m:
•  Powyżej 200 Lux = 4,
•  Między 100–200 Lux: 0,04 pkt za każdy Lux powyżej 100,
•  Poniżej 100 Lux =0;
•  Brak automatów płatniczych: tak samo jak w przypadku wyjazdu (w takim przypadku wpisz zero).</t>
  </si>
  <si>
    <t>U kasjera; na wysokości lady:
•  Powyżej 200 Lux =4,
•  Między 100–200 Lux: 0,04 pkt za każdy Lux powyżej 100,
•  Poniżej 100 Lux= 0,
•  Brak kasjera: 0  (w takim przypadku wpisz zero)</t>
  </si>
  <si>
    <t>W windzie, na poziomie podłogi:
•  Powyżej 70 Lux = 4,
•  Między 30–70 Lux: 0,1 pkt za każdy Lux powyżej 30,
•  Poniżej 30 Lux = 0,
•  Pojedynczy poziom bez windy: 0 (w takim przypadku wpisz zero).</t>
  </si>
  <si>
    <t>Na klatkach schodowych i wszystkich innych ciągach pieszych; na poziomie podłogi:
•  Powyżej 90 Lux = 3,
•  Między 30–90 Lux: 0,05 pkt za każdy Lux powyżej 30,
•  Poniżej 30 Lux = 0.</t>
  </si>
  <si>
    <t>Natężenie światła na parkingu na poziomie podłogi (proszę wypełnić poniższą tabelę):
Średnie natężenie światła:
•  Powyżej 100 Lux= 10;
•  Między 20–100 Lux: 0,125 pkt za każdy Lux powyżej 20, 
•  Poniżej 20 Lux= 0.</t>
  </si>
  <si>
    <t>Jednolitość poziomów światła w siatce jako odchylenie standardowe:
•  Poniżej 25% średniego poziomu światła = 10,
•  Między 25– 50%: 0,4 pkt za każdy % poniżej 50%,
•  Powyżej 50% =  0.</t>
  </si>
  <si>
    <t>Zakres pomocniczy dla 2.8</t>
  </si>
  <si>
    <t>Koniec miejsca parkingowego pod / między światłami</t>
  </si>
  <si>
    <t>Środek miejsca parkingowego pod / pomiędzy światłami</t>
  </si>
  <si>
    <t>Przejście na jezdnię pod / pomiędzy światłami</t>
  </si>
  <si>
    <t>Środek drogi pod / między światłami</t>
  </si>
  <si>
    <t>Przeciwległe przejście na jezdnię pod / pomiędzy światłami</t>
  </si>
  <si>
    <t>Wejście / wyjście</t>
  </si>
  <si>
    <t>Lista przedmiotów</t>
  </si>
  <si>
    <t>Max. Wysokość prześwitu jest podana przy wejściu (tak=1, nie=0)</t>
  </si>
  <si>
    <t>Prawidłowe oznakowanie wejścia (tak=1, nie=0)</t>
  </si>
  <si>
    <t>Kontrola wysokości (tak=1, nie=0)</t>
  </si>
  <si>
    <t>Gumowy odbój zabezpieczający przed uszkodzeniem (tak=1, nie=0)</t>
  </si>
  <si>
    <t>Wysokość:
(Parking powinien otrzymać jeden punkt za każde 10 cm wysokości powyżej 1,90 m do 2,20 m)</t>
  </si>
  <si>
    <t>System kierowania ruchem wskazuje na ograniczenia w użytkowaniu._x000D_
- jasne oznakowanie = 3_x000D_
- częściowe oznakowanie = 2_x000D_
- brak oznakowania = 0</t>
  </si>
  <si>
    <t>Informacje na temat:</t>
  </si>
  <si>
    <t>Warunki korzystania z usług operatora</t>
  </si>
  <si>
    <t>Codzienne godziny otwarcia</t>
  </si>
  <si>
    <t>Cennik</t>
  </si>
  <si>
    <t>Czytelność oznakowania taryfowego</t>
  </si>
  <si>
    <t>Oznakowanie strefy wejścia/wyjścia</t>
  </si>
  <si>
    <t>Stacja wjazdowa - łatwy dostęp</t>
  </si>
  <si>
    <t>Stacja wyjazdowa - łatwy dostęp</t>
  </si>
  <si>
    <t>Nachylenie podłużne przy automatach biletowych</t>
  </si>
  <si>
    <t>Pas wjazdowy:_x000D_
- 0-2% (samochód nie rusza bez hamulca) = 1_x000D_
- 2-5% = 0_x000D_
- Powyżej 5% = -1</t>
  </si>
  <si>
    <t>Pas wyjazdowy:
- 0-2% (samochód nie rusza bez hamulca) = 1
- 2-5% = 0
- Powyżej 5% = -1</t>
  </si>
  <si>
    <t>Konstrukcja krawężnika pozwalająca uniknąć uszkodzenia kół przeciętnego pojazdu:_x000D_
(Tak = 2, Brak zabezpieczenia = 0, Brak krawężników w obszarze wjazdu/wyjazdu = 2)</t>
  </si>
  <si>
    <t>Powierzchnie antypoślizgowe rampy dojazdowe/wejściowe:_x000D_
(Antypoślizgowe = 1, Śliskie, gdy mokre = 0)</t>
  </si>
  <si>
    <t>Zabezpieczenie dostępu</t>
  </si>
  <si>
    <t>Bariera/szlaban</t>
  </si>
  <si>
    <t>Interkom</t>
  </si>
  <si>
    <t>Rozpoznawanie tablic rejestracyjnych</t>
  </si>
  <si>
    <t>Szybkorozkładalne bramy o pełnej wysokości</t>
  </si>
  <si>
    <t>Dostęp dla personelu (wejście lub wyjście)</t>
  </si>
  <si>
    <t>Szlaban wyjazdowy otwiera się automatycznie po zapłaceniu na stanowisku płatniczym, na podstawie ANPR: Tak = 2 , Nie = 0</t>
  </si>
  <si>
    <t>Wejście/wyjście z budynku: szerokość między konstrukcją (na pas ruchu)_x000D_
(&lt; 3 m =0, 3 - 3,3 m =1, &gt; 3,3 m = 2)</t>
  </si>
  <si>
    <t>Wyjazd: skarpa wyjazdowa kończy się co najmniej 5 metrów przed skrzyżowaniem z ruchem ulicznym (piesi/rowerzyści):</t>
  </si>
  <si>
    <t>Parking</t>
  </si>
  <si>
    <t xml:space="preserve">Umieszczenie filarów dla co najmniej 85% zatok:_x000D_
- nie wkracza w obszar parkingu = 8 _x000D_
- na początku stanowiska = 0_x000D_
- obok drzwi samochodu = 0_x000D_
- z tyłu stanowiska, ale wkracza w obszar parkowania = 4 </t>
  </si>
  <si>
    <t>Zabezpieczenie przy słupach w celu uniknięcia uszkodzenia samochodu: jakość dobra=2, jakość podstawowa=1, brak=0, nieistotne=2.</t>
  </si>
  <si>
    <t>Widoczność (dużo/ mało martwych zakrętów, ściany na parkingu itp.)
dobra=4, średnia=2 lub zła=0.</t>
  </si>
  <si>
    <t>Oznakowanie</t>
  </si>
  <si>
    <t>Oznakowanie dla kierowcy samochodu:</t>
  </si>
  <si>
    <t>Czy znaki drogowe są zgodne z krajowym kodeksem drogowym?</t>
  </si>
  <si>
    <t xml:space="preserve">Oznakowanie trasy i zakrętów: Czy oznakowanie jest jasne, kompletne i jednoznaczne? </t>
  </si>
  <si>
    <t>Kompletne ?</t>
  </si>
  <si>
    <t>Łatwe do zobaczenia ?</t>
  </si>
  <si>
    <t>Jednoznaczne?</t>
  </si>
  <si>
    <t xml:space="preserve">Znaki wyjazdowe na parkingu: Czy oznakowanie jest jasne, kompletne i jednoznaczne? </t>
  </si>
  <si>
    <t>Jednoznaczne ?</t>
  </si>
  <si>
    <t>Oznaczenia zatok parkingowych</t>
  </si>
  <si>
    <t>Zatoki parkingowe są wyraźnie oznaczone ?</t>
  </si>
  <si>
    <t>Oznakowanie zatok sięga do ścian, aby pomóc kierowcy ?</t>
  </si>
  <si>
    <t>Czy oznaczenia dróg są:</t>
  </si>
  <si>
    <t>Miejsca dla niepełnosprawnych</t>
  </si>
  <si>
    <t>Dostępność miejsc dla osób niepełnosprawnych z dostępem dla wózków inwalidzkich oznakowana przy wjeździe na parking:</t>
  </si>
  <si>
    <t>Dostępne dla wózków inwalidzkich ?</t>
  </si>
  <si>
    <t>Szerokość zatok minimum 3,5 m ?</t>
  </si>
  <si>
    <t>Blisko wyjścia dla pieszych ?</t>
  </si>
  <si>
    <t>Wskazówki dotyczące miejsc dla osób niepełnosprawnych ?</t>
  </si>
  <si>
    <t>Kąt parkowania przy 85% zatok:_x000D_
(kąt 76-90° = 0, kąt 45-75° = 2)</t>
  </si>
  <si>
    <t>Szerokość zatok (85 % zatok), A lub B: 
A: Kąt parkowania 76 - 90 stopni
(2,25m = -5, 2,30m = 0, 2,35m = 2, 2,40m = 4, 2,45m = 6, 2,50m = 8) 
B: Kąt parkowania 45-75 stopni
(2,25m = -5, 2,30m = 1, 2,35m = 3, 2,40m = 5, 2,45m = 8)
Szerokość 2,25m dotyczy tylko parkingów remontowanych, nowe parkingi muszą mieć minimum 2,30m</t>
  </si>
  <si>
    <t>Całkowita jednostkowa miara szerokości wysepki jednokierunkowej i głębokość dwóch zatok postojowych, w zależności od kąta parkowania i szerokości zatoki:
Szerokość zatoki: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Łączny wymiar jak wyżej kwalifikuje się na 3 punkty. 
Do 30 cm mniej kwalifikuje się na 2 punkty
Do 60 cm mniej otrzymuje 1 punkt.
Więcej niż 60 cm mniej: nie przyznaje się punktów.</t>
  </si>
  <si>
    <t>Konstrukcja krawężnika pozwalająca uniknąć uszkodzenia kół przeciętnego pojazdu_x000D_
- Tak = 2, Brak zabezpieczenia = 0 , Brak krawężników = 2</t>
  </si>
  <si>
    <t>Rampy dla pojazdów</t>
  </si>
  <si>
    <t>Czy to jest pojedynczy samochód bez ramp?</t>
  </si>
  <si>
    <t>Powierzchnia rampy między parkingami (antypoślizgowa 1, gładka 0, bez ramp 1)</t>
  </si>
  <si>
    <t>Pochylenie podłużne ramp łączących (niewykorzystywanych do parkowania)_x000D_
- &lt;10%=3, 10-15%=1, &gt;15%=0, brak ramp=3</t>
  </si>
  <si>
    <t xml:space="preserve">Szerokość rampy (pomiędzy krawężnikami) wszystkie rampy mierzone w najwęższym miejscu </t>
  </si>
  <si>
    <t>Zakrzywione rampy muszą być o 1 m szersze, aby uzyskać ten sam wynik. Czy rampy są wyprofilowane?</t>
  </si>
  <si>
    <t>Proszę wybrać szerokość. &lt; 3m=0, 3-3,3m=1, &gt;3,3m=3, bez rampy=3</t>
  </si>
  <si>
    <t>Proszę wybrać szerokość. &lt; 4m=0, 4-4,3m=1, &gt;4,3m=3, bez rampy=3</t>
  </si>
  <si>
    <t>Krzywizna rampy (promień zewnętrzny) rampy łukowe_x000D_
- do 9m=0, 9-10 m=1, &gt;10m=2, brak ramp=2_x000D_
Przy rampach dwukierunkowych miara ta odnosi się do wewnętrznego pasa ruchu.</t>
  </si>
  <si>
    <t>Podejście po łuku do prostych ramp_x000D_
- &lt;7,5m=0, 7,5-9m=1, &gt;9m=2, brak ramp=2</t>
  </si>
  <si>
    <t>Nachylenie podłużne posadzki parkingowej_x000D_
- &lt;5%=3, 5-7 =1, &gt;7%=0, brak nachylenia=3</t>
  </si>
  <si>
    <t>Dostęp dla pieszych</t>
  </si>
  <si>
    <t>Czy jest to parking jednopoziomowy na parterze, (nie na otwartej powierzchni) ?</t>
  </si>
  <si>
    <t>Czy windy są na poziomie ulicy?</t>
  </si>
  <si>
    <t>Czy windy są głównym połączeniem pionowym? (schody są tylko drugorzędne lub ewakuacyjne)</t>
  </si>
  <si>
    <t>Wysokość głowy dla pieszych - bez drzwi_x000D_
- &lt;2.00m = 0_x000D_
- 2,00m - 2,10m = 1_x000D_
- 2,10m - 2,20m = 2_x000D_
- &gt; 2.20m = 3</t>
  </si>
  <si>
    <t>Wydzielony ciąg pieszy (np. podwyższony; pasy lub kolory zebry) (tak = 2, nie = 0)</t>
  </si>
  <si>
    <t>Czy drzwi wejściowe dla pieszych są łatwe w użyciu?_x000D_
(Tak, automatyczne lub otwarte połączenie = 4, Łatwe do otwarcia = 2, Nie = 0)</t>
  </si>
  <si>
    <t>Dostęp dla pieszych kontrolowany za pomocą biletu/karty przy otwartym parkingu (Tak=1, Nie=0)</t>
  </si>
  <si>
    <t>Liczba wind na poziomie ulicy:_x000D_
(1 winda = 1, 2 + windy = 5)</t>
  </si>
  <si>
    <t>Wielkość wind:_x000D_
(Więcej niż 8 osób = 3, 4-8 osób = 1, mniej niż 4 = 0)</t>
  </si>
  <si>
    <t>Widoczność z windy wewnątrz na hol/parking_x000D_
(brak widoczności z windy = 0, przeszklone drzwi/ściany = 3, brak windy = 0)</t>
  </si>
  <si>
    <t>Oznaczenie poziomu:</t>
  </si>
  <si>
    <t>w windzie:</t>
  </si>
  <si>
    <t>w foyer windy:</t>
  </si>
  <si>
    <t>Przyciski sterujące windą na wysokości wózka inwalidzkiego._x000D_
- Tak = 1, Nie = 0</t>
  </si>
  <si>
    <t>Drzwi bezpośrednio na parking</t>
  </si>
  <si>
    <t>Szerokość (&lt;90 cm =0, &gt;=90 cm = 2)</t>
  </si>
  <si>
    <t>Drzwi awaryjne, standardowo otwierane (Tak=2, Nie= 0)</t>
  </si>
  <si>
    <t>Widoczność (Przeszklone drzwi/ściana = 3, Brak przeszklenia = 0)</t>
  </si>
  <si>
    <t>Klatki schodowe (widoczność i orientacja)</t>
  </si>
  <si>
    <t>Dobra widoczność (Tak = 1, Nie = 0, Nieistotne = 1)</t>
  </si>
  <si>
    <t>Wskazanie poziomu (Tak = 1, Nie = 0, Nieistotne = 1)</t>
  </si>
  <si>
    <t>Schody (w tym podwyższona widoczność stopni)</t>
  </si>
  <si>
    <t>Szerokość (&lt; 1,5 m = 0, &gt; 1,5 m = 2)</t>
  </si>
  <si>
    <t>Poręcze (brak poręczy =0, jedna strona = 1, dwie strony=2)</t>
  </si>
  <si>
    <t>Lepsza widoczność stopni dla osób o słabym wzroku (Tak = 2, Nie = 0)</t>
  </si>
  <si>
    <t>Antypoślizgowa powierzchnia na schodach: (Tak = 2, Nie = 0)</t>
  </si>
  <si>
    <t>Otwory zewnętrzne w klatce schodowej_x000D_
(okno/okno na zewnątrz lub parking =2, brak =0)</t>
  </si>
  <si>
    <t>Urządzenia zabezpieczające</t>
  </si>
  <si>
    <t>CCTV z informacją przy wejściu = 3, Brak CCTV=0</t>
  </si>
  <si>
    <t>Nadzór nad pracownikami (na miejscu lub zdalnie)_x000D_
- Tak = 5, Nie = 0</t>
  </si>
  <si>
    <t>CCTV przy:</t>
  </si>
  <si>
    <t>Wjazd samochodu: Tak =1, Nie =0</t>
  </si>
  <si>
    <t>Wyjazd z samochodu: Tak =1, Nie =0</t>
  </si>
  <si>
    <t>Automat do płacenia: Tak =1, Nie =0</t>
  </si>
  <si>
    <t>Hala windowa, każdy poziom: Tak =1, Nie =0</t>
  </si>
  <si>
    <t>Klatki schodowe, każdy poziom: Tak =1, Nie =0</t>
  </si>
  <si>
    <t>Wejścia dla pieszych: Tak =1, Nie =0</t>
  </si>
  <si>
    <t>Większość powierzchni parkingowej (65%): Tak=3, Nie=0</t>
  </si>
  <si>
    <t>Rampy: Tak = 1, Nie = 0</t>
  </si>
  <si>
    <t>Możliwość kontaktu z personelem poprzez:</t>
  </si>
  <si>
    <t>Interkom przy automacie płatniczym i/lub kontrolowanych wjazdach (24/7=3, Wszystkie godziny dostępu, jeśli nie 24/7= 2, W niepełnym wymiarze godzin/niedostępne = 0)</t>
  </si>
  <si>
    <t>System wzywania pomocy na parkingu (24/7=3, Wszystkie godziny dostępu, jeśli nie 24/7= 2, W niepełnym wymiarze godzin/niedostępne = 0)</t>
  </si>
  <si>
    <t>Rozpoznawalny personel obecny na parkingu i patrolujący
(24/7 = 3, Wszystkie godziny dostęu, jeśli nie 24/7 = 2, W niepełnym wymiarze godzin= 1, No = 0)</t>
  </si>
  <si>
    <t>Zamykany wyjazd/wjazd dla pojazdów: 
(Zamknięta brama/roleta po godzinach dostępu = 2, Zabezpieczona: szybko otwierana brama w ciągu dnia = 4, Zabezpieczona: wolno otwierana brama w ciągu dnia = 2, Brak zamknięcia = 0)</t>
  </si>
  <si>
    <t>Zamykane wyjście/wejście dla pieszych (po godzinach otwarcia).
(Drzwi/bramy/rolety &lt;= 15cm = 2, powyżej 15 cm = 0, brak postanowień = 0, Nieistotne (otwarcie 24 godziny) = 4)</t>
  </si>
  <si>
    <t>Kraty na otworach zewnętrznych &amp; kraty zabezpieczające_x000D_
(&lt;= 15 cm = 2, &gt; 15 cm lub brak zabezpieczenia= 0, Nieistotne (brak otworów zewnętrznych) = 2)</t>
  </si>
  <si>
    <t>Identyfikacja wolnych miejsc parkingowych</t>
  </si>
  <si>
    <t>Poziom podłogi parkingu (tak/dobrze = 2, nie/źle = 0)</t>
  </si>
  <si>
    <t>Rzędy postojowe (tak/dobrze = 1, nie/źle = 0)</t>
  </si>
  <si>
    <t>Oznaczenie poszczególnych stanowisk (tak/dobrze = 2, nie/źle = 0)</t>
  </si>
  <si>
    <t>Wyszukiwanie drogi (pojazdy)</t>
  </si>
  <si>
    <t>Czy piętra są wyraźnie i oddzielnie oznaczone dla kierowców? (Dobry =3, Dostateczny =2, Słaby =1, Brak =0)</t>
  </si>
  <si>
    <t>Czy podobszary piętra są jasno określone dla kierowców? (Dobry =3, Odpowiedni =2, Słaby =1, Nie =0)</t>
  </si>
  <si>
    <t>Czy drogi ewakuacyjne i ucieczki są wyraźnie oznaczone?
- Wyraźne ze wszystkich miejsc = 3
- większość miejsc= 2
- niektóre miejsca=1
- Brak oznakowania dróg ewakuacyjnych=0</t>
  </si>
  <si>
    <t>Czy poziomy posadzek są wyraźnie oznaczone?_x000D_
(dobre =3, wystarczające=2, słabe=1, brak =0. Parkingi jednopoziomowe = 3)</t>
  </si>
  <si>
    <t>Czy jest dodatkowe oznakowanie lub podpowiedzi dla pieszego na parkingu?
(dobre =2, niektóre =1, brak = 0)</t>
  </si>
  <si>
    <t>Czy miejsca parkingowe są indywidualnie numerowane?
(Numerowane z uwzględnieniem identyfikacji piętra =2, Tylko numery =1, brak =0)</t>
  </si>
  <si>
    <t>Wykorzystanie kolorów w celu znalezienia drogi_x000D_
(Tak= 1, Nie= 0)</t>
  </si>
  <si>
    <t>Znaki orientacyjne dla samochodów na drogach prowadzących do parkingu</t>
  </si>
  <si>
    <t>Tylko system znaków statycznych (Tak = 1, Nie = 0)</t>
  </si>
  <si>
    <t>System dynamicznego oznakowania dodatkowo (Dostępne miejsca = 2, Pełne/wolne = 1, Nie = 0)</t>
  </si>
  <si>
    <t>Wskazówki dotyczące parkingu w aplikacjach nawigacyjnych (tak = 2, nie = 0)</t>
  </si>
  <si>
    <t>Podświetlane oznakowanie przy wjeździe na parking</t>
  </si>
  <si>
    <t>Sygnał zielonej strzałki, czerwony krzyż dla kierunku jazdy (tak = 1, nie = 0)</t>
  </si>
  <si>
    <t>Dodatkowo informacja dynamiczna (Dostępne miejsca = 2, Pełne/wolne = 1, Nie = 0)</t>
  </si>
  <si>
    <t>Oznakowanie przy wejściu dla pieszych (Tak = 1, Nie = 0)</t>
  </si>
  <si>
    <t>Plan miasta w centralnym miejscu na parkingu:_x000D_
(Przy każdym wyjściu dla pieszych = 2, Jedna lokalizacja = 1, Brak = 0)</t>
  </si>
  <si>
    <t>Wskazówki:</t>
  </si>
  <si>
    <t>do kluczowych atrakcji wokół parkingu przy wyjściach dla pieszych (Tak=1, Nie=0):</t>
  </si>
  <si>
    <t>wokół parkingu do wejść dla pieszych (Yes=1, No=0):</t>
  </si>
  <si>
    <t>Komfort i Różne</t>
  </si>
  <si>
    <t>Tablica informacyjna przy wejściu/wyjściu dla pieszych pokazująca:</t>
  </si>
  <si>
    <t>Godziny dostępu normalne/specjalne (tak = 1, nie = 0)</t>
  </si>
  <si>
    <t>Czytelna i zrozumiała tablica z taryfami (tak = 1, nie = 0)</t>
  </si>
  <si>
    <t>Warunki działania operatorów/regulamin (tak = 1, nie = 0)</t>
  </si>
  <si>
    <t>Opcje płatności (zapłata przy wyjściu/płatność na stacji benzynowej):</t>
  </si>
  <si>
    <t>Akceptuje gotówkę? (tak =1, nie =0)</t>
  </si>
  <si>
    <t>Akceptuje karty Banku Narodowego? (tak=1, nie=0)</t>
  </si>
  <si>
    <t>Akceptuje międzynarodowe karty debetowe i kredytowe (tak=1, nie=0)</t>
  </si>
  <si>
    <t>Płatność smartfonem? (tak =1, nie =0)</t>
  </si>
  <si>
    <t>Akceptacja innych systemów płatności ? Ile (1 punkt za każdą dodatkową opcję do 3)</t>
  </si>
  <si>
    <t>Opcje płatności przy wyjściu:</t>
  </si>
  <si>
    <t>Karty bankowe, krajowe (tak =1, nie =0)</t>
  </si>
  <si>
    <t>Międzynarodowe karty debetowe i kredytowe (tak =1, nie =0)</t>
  </si>
  <si>
    <t>Rozpoznawanie tablic rejestracyjnych połączone z kontem bankowym lub aplikacją (tak =1, nie =0).</t>
  </si>
  <si>
    <t>Urządzenie RFID połączone z kontem bankowym lub aplikacją (tak =1, nie =0).</t>
  </si>
  <si>
    <t>Akceptacja krajowego ogólnego systemu ruchu (np. opłaty za przejazd, transport publiczny) (tak =1, nie =0)</t>
  </si>
  <si>
    <t>Płatność za pomocą smartfona (tak =1, nie =0)</t>
  </si>
  <si>
    <t>Otwarcie szlabanu przy wjeździe automatycznie uruchamia transakcję parkowania bezbiletowego z automatyczną płatnością: Zdalne sterowanie przez aplikację, podpięte do konta bankowego Tak=1, nie=0 Na podstawie ANPR podpiętego do konta bankowego Tak=1 dodatkowe</t>
  </si>
  <si>
    <t>Miejsca płatności</t>
  </si>
  <si>
    <t>Czy jest to parking typu Pay and Display?</t>
  </si>
  <si>
    <t>Liczba punktów płatności dla parkingów z barierą:
(Jedno stanowisko płatne = 0, Więcej niż jedno =1, Jedno przy każdym wejściu dla pieszych, z wyłączeniem dróg przeciwpożarowych =2, Więcej niż jedno przy każdym wejściu dla pieszych =3)</t>
  </si>
  <si>
    <t>Liczba punktów płatności dla parkingów typu Pay and Display: (Jeden =0, &lt; 1 na każde 50 miejsc =2, &gt;1 na każde 50 miejsc =3)"</t>
  </si>
  <si>
    <t>Toalety dla klientów:</t>
  </si>
  <si>
    <t>Istnieją? (tak= 2, nie= 0)</t>
  </si>
  <si>
    <t>Toaleta dla osób niepełnosprawnych (tak=1, nie= 0)</t>
  </si>
  <si>
    <t>unisex = 0, oddzielone męskie/kobiece = 1</t>
  </si>
  <si>
    <t>Obsługa: tak=1, nie= 0</t>
  </si>
  <si>
    <t>Użycie kolorów/ ozdób</t>
  </si>
  <si>
    <t>Kolorowe filary =1, nie/ beton szary = 0</t>
  </si>
  <si>
    <t>Kolorowe ściany =1, nie/betonowo szare = 0</t>
  </si>
  <si>
    <t>Dodatkowe upiększenia</t>
  </si>
  <si>
    <t>Dzieła sztuki: (Tak = 2, Nie = 0)</t>
  </si>
  <si>
    <t>Kwietniki: (Tak = 1, Nie = 0)</t>
  </si>
  <si>
    <t>Inne: (Tak = 1, Nie = 0)</t>
  </si>
  <si>
    <t>Zasięg telefonii komórkowej (Tak = 2, Nie = 0)</t>
  </si>
  <si>
    <t>Ciągłość sygnałów radiowych (Tak = 1, Nie = 0)</t>
  </si>
  <si>
    <t>Muzyka</t>
  </si>
  <si>
    <t>Muzyka w tle: tak = 2, nie = 0</t>
  </si>
  <si>
    <t>Zróżnicowanie w celu znalezienia drogi: tak =1, nie = 0</t>
  </si>
  <si>
    <t>Kosze na śmieci</t>
  </si>
  <si>
    <t>Kosze na śmieci przy wejściu dla pieszych/klatce schodowej tak =1, nie=0</t>
  </si>
  <si>
    <t>Kosze na śmieci na parkingu (&gt;1 na 100 miejsc) Tak=1, nie=0</t>
  </si>
  <si>
    <t>Punkt odbioru dla dostaw lokalnych i internetowych: tak=1, nie =0</t>
  </si>
  <si>
    <t>Energia i środowisko</t>
  </si>
  <si>
    <t>Energooszczędne systemy oświetleniowe</t>
  </si>
  <si>
    <t>Kompensacja współczynnika mocy (Yes=1, No=0)</t>
  </si>
  <si>
    <t>Inne systemy (Tak=1, Nie=0)</t>
  </si>
  <si>
    <t>Wykrywanie ruchu, zmienne światła, pozostała jakość (tak= 2, nie= 0)</t>
  </si>
  <si>
    <t>Oświetlenie adaptacyjne do kompensacji światła dziennego w strefie wejściowej _x000D_
(yes= 2, no= 0)</t>
  </si>
  <si>
    <t>Oświetlenie adaptacyjne dla warunków oświetlenia otoczenia na poziomie parkingu ze światła dziennego_x000D_
(tak= 2, nie= 0, Nieistotne (poniżej terenu) =2)</t>
  </si>
  <si>
    <t>Panele słoneczne na dachu lub inne inicjatywy związane z zieloną energią (tak= 2, nie= 0)</t>
  </si>
  <si>
    <t>Specjalne traktowanie wody do czyszczenia:_x000D_
- tak= 2, nie= 0</t>
  </si>
  <si>
    <t xml:space="preserve">Szara woda lub ponowne wykorzystanie wody deszczowej_x000D_
- tak= 2, nie= 0_x000D_
</t>
  </si>
  <si>
    <t xml:space="preserve">Publiczne punkty ładowania pojazdów elektrycznych: </t>
  </si>
  <si>
    <t>ponad 10% miejsc wyposażonych w punkt ładowania EV = 4, 5%-10% miejsc = 3, 2%-5% miejsc = 2, mniej niż 2% miejsc=1, Brak=0</t>
  </si>
  <si>
    <t>Średnia pojemność jednego punktu ładowania &lt;4kW=0, 4-10kW=1, 10-20kW=2, &gt;20kW=3. Szybkie ładowarki &gt;50kW= 1 dodatkowy punkt</t>
  </si>
  <si>
    <t xml:space="preserve">Całkowita moc inteligentna na 100 miejsc &lt;50kW=0, 50-100kW=1, 100-200kW=2, &gt;200 kW=3 </t>
  </si>
  <si>
    <t>Punkty ładowania skoncentrowane wokół wjazdu dla bezpieczniejszego dostępu straży pożarnej (tak =1, nie =0)</t>
  </si>
  <si>
    <t>Opcjonalna rezerwacja punktu ładowania zintegrowana z systemem rezerwacji: (tak =1, nie =0)</t>
  </si>
  <si>
    <t>Centra mobilności</t>
  </si>
  <si>
    <t xml:space="preserve">Miejsca wyznaczone do wspólnego użytkowania samochodów (Car Sharing) &gt;10 miejsc = 3, 5-10 miejsc =2, 1-5 miejsc = 1, brak =0 </t>
  </si>
  <si>
    <t>Hub z obsługą i sprzątaniem: 1 punkt</t>
  </si>
  <si>
    <t xml:space="preserve">Hub dla współdzielonych rowerów i/lub e-scooterów, oddzielony od parkingu: &gt;10 sztuk =2, 1-10 sztuk =1, brak =0 </t>
  </si>
  <si>
    <t xml:space="preserve">Punkty ładowania dla lekkich e-pojazdów: &gt;10 =2, 1-10 =1, brak =0,   </t>
  </si>
  <si>
    <t xml:space="preserve">Wspólny dostęp rowerów przez parking/ strefę samochodową: 1 punkt mniej </t>
  </si>
  <si>
    <t>Nowy parking zbudowany zgodnie z wytycznymi dotyczącymi recyklingu (tak =1, nie =0)</t>
  </si>
  <si>
    <t>Inne inicjatywy środowiskowe: (tak =2, nie =0)</t>
  </si>
  <si>
    <t>Minusowe punkty</t>
  </si>
  <si>
    <t>Obecność graffiti</t>
  </si>
  <si>
    <t>Klatki schodowe (Tak= -2, Nie= 0)</t>
  </si>
  <si>
    <t>Windy (Tak= -2, Nie= 0)</t>
  </si>
  <si>
    <t>Toalety (Tak= -2, Nie= 0)</t>
  </si>
  <si>
    <t>Parking (Tak= -2, Nie= 0)</t>
  </si>
  <si>
    <t>Ściany zewnętrzne (Tak= -2, Nie= 0)</t>
  </si>
  <si>
    <t>Obecność brudu</t>
  </si>
  <si>
    <t>Winda (Tak= -2, Nie= 0)</t>
  </si>
  <si>
    <t>Zewnętrzne wejście dla pieszych + samochody (Tak= -2, Nie= 0)</t>
  </si>
  <si>
    <t>Słaba jakość malowania</t>
  </si>
  <si>
    <t>Oznakowanie poziome (Tak= -2, Nie= 0)</t>
  </si>
  <si>
    <t xml:space="preserve">Zła jakość/ brak konserwacji (dziury, uszkodzenia) </t>
  </si>
  <si>
    <t>Podłogi (Tak= -2, Nie= 0)</t>
  </si>
  <si>
    <t>Ściany (Tak= -2, Nie= 0)</t>
  </si>
  <si>
    <t>Dowody na stojącą wodę (Tak= -2, Nie= 0)</t>
  </si>
  <si>
    <t>Dowody na nieprzyjemne zapachy</t>
  </si>
  <si>
    <t>Ponad 15% miejsc parkingowych bez oznaczenia zajętości. (Tak= -5, Nie=0)</t>
  </si>
  <si>
    <t>Różne punkty krytyki (do wyjaśnienia!)_x000D_
[Np. puste brzmienie, pisk opon, niezamierzeni goście itp.] do -10</t>
  </si>
  <si>
    <t>Stosuje się karę za warunek obowiązkowy 1.4</t>
  </si>
  <si>
    <t>Punkty bonusowe</t>
  </si>
  <si>
    <t>Dodatkowe zabezpieczenia na parkingu</t>
  </si>
  <si>
    <t>Specjalna strefa dla motocykli (Tak= 1, Nie= 0)</t>
  </si>
  <si>
    <t>Szafki do użytku klientów (Tak= 1, Nie= 0)</t>
  </si>
  <si>
    <t>Inne pomoce (Tak= 1, Nie= 0)</t>
  </si>
  <si>
    <t>Wypożyczalnia rowerów (Tak= 1, Nie= 0)</t>
  </si>
  <si>
    <t>Inna pomoc dla kierowców (Tak= 1, Nie= 0)</t>
  </si>
  <si>
    <t>Automaty do sprzedaży (Tak= 1, Nie= 0)</t>
  </si>
  <si>
    <t>Defibrylator serca (Tak= 1, Nie= 0)</t>
  </si>
  <si>
    <t>Personel przeszkolony w zakresie pierwszej pomocy (Tak= 1, Nie= 0)</t>
  </si>
  <si>
    <t>Dane o ruchu drogowym w czasie rzeczywistym (Tak= 1, Nie= 0)</t>
  </si>
  <si>
    <t>Wymiana danych parkingowych przy użyciu standardu APDS (Tak=1, nie=0)</t>
  </si>
  <si>
    <t>Inne informacje dostępne w czasie rzeczywistym (np. wydarzenia lokalne) (Tak= 1, Nie= 0)</t>
  </si>
  <si>
    <t>Środki pozwalające na uniknięcie kolejek w godzinach szczytu (np. pas pływowy przy wjeździe/wyjeździe samochodów) - (Tak= 3, Nie= 0)</t>
  </si>
  <si>
    <t>Możliwość zawracania dla samochodów przed barierą wysokościową lub pełny znak uniemożliwiający cofanie (Tak= 3, Nie= 0)</t>
  </si>
  <si>
    <t>Punkt obsługi klienta (Tak= 1, Nie= 0)</t>
  </si>
  <si>
    <t>Schody ruchome:
(Do/z wszystkich poziomów =5, Do/z niektórych poziomów =3, Brak schodów ruchomych  = 0)</t>
  </si>
  <si>
    <t>Lokalizacja zaparkowanych samochodów na podstawie biletu lub tablicy rejestracyjnej_x000D_
(Tak= 1, Nie= 0)</t>
  </si>
  <si>
    <t xml:space="preserve">Parking bez barier z kontrolą ANPR: 1 punkt dodatkowo </t>
  </si>
  <si>
    <t xml:space="preserve">Węzeł park&amp;ride/komunikacji miejskiej przy wyjściu dla pieszych tak=1, nie=0, rzeczywiste godziny odjazdów wyświetlane na parkingu: 1 punkt ekstra </t>
  </si>
  <si>
    <t>Obsługa autonomicznego parkowania (AVP) w wydzielonej strefie parkingu: Tak=5, nie=0</t>
  </si>
  <si>
    <t>Inne pozytywne punkty, np. dodatkowe usługi, przyjazny personel, wyłożone kafelkami ściany/podłogi, dobre wkomponowanie parkingu w krajobraz miasta itp. do dziesięciu dodatkowych punktów bonusowych. Do wyraźnego określenia.</t>
  </si>
  <si>
    <t>Czy opublikowano i utrzymano plan konserwacji budynku? Tak=1, nie=0)</t>
  </si>
  <si>
    <t>Czy istnieje i jest wdrażany plan zrównoważonego rozwoju (w tym strategia recyklingu po zakończeniu eksploatacji)? Tak=1, nie=0</t>
  </si>
  <si>
    <t>Czy dzienne, miesięczne i roczne zużycie energii jest wyświetlane w strefie dla pieszych? Tak=1, nie=0</t>
  </si>
  <si>
    <t xml:space="preserve">Gold Award_x000D_
</t>
  </si>
  <si>
    <t>Minimalna wysokość nad głową = 2,00 m, z reguły w pomieszczeniach ogólnodostępnych. Incydentalne niższe przeszkody muszą być wyraźnie oznaczone.</t>
  </si>
  <si>
    <t>70% zatok musi mieć szerokość co najmniej 2,40m.</t>
  </si>
  <si>
    <t>Średnie natężenie światła na parkingu przy podłodze wynosi minimum 50 Lux</t>
  </si>
  <si>
    <t>Polish</t>
  </si>
  <si>
    <t>Język</t>
  </si>
  <si>
    <t>Kraj</t>
  </si>
  <si>
    <t>Nazwa parkingu</t>
  </si>
  <si>
    <t>Miasto</t>
  </si>
  <si>
    <t>Liczba miejsc</t>
  </si>
  <si>
    <t>Imię i nazwisko osoby kontaktowej</t>
  </si>
  <si>
    <t>Oceniane przez</t>
  </si>
  <si>
    <t>Warunki oceny</t>
  </si>
  <si>
    <t>Pora dnia</t>
  </si>
  <si>
    <t>Warunki pogodowe</t>
  </si>
  <si>
    <t>Stopień obłożenia</t>
  </si>
  <si>
    <t>Zakończone</t>
  </si>
  <si>
    <t>Niedokończone</t>
  </si>
  <si>
    <t>Zgodne</t>
  </si>
  <si>
    <t>Uwagi</t>
  </si>
  <si>
    <t>Pozycje Nieudane:</t>
  </si>
  <si>
    <t>Nie oceniono:</t>
  </si>
  <si>
    <t>Zgodny</t>
  </si>
  <si>
    <t>Niezgodny</t>
  </si>
  <si>
    <t>Niepełne</t>
  </si>
  <si>
    <t>Pozycje ogółem</t>
  </si>
  <si>
    <t>Pozycje ogółem + podpunkty</t>
  </si>
  <si>
    <t>Nie zmierzone</t>
  </si>
  <si>
    <t>Wynik</t>
  </si>
  <si>
    <t>Maksymalny wynik</t>
  </si>
  <si>
    <t>Procent</t>
  </si>
  <si>
    <t>Wartość kategorii</t>
  </si>
  <si>
    <t>Ocena ogólna</t>
  </si>
  <si>
    <t>Kategoria</t>
  </si>
  <si>
    <t>Liczba elementów</t>
  </si>
  <si>
    <t>Liczba punktów</t>
  </si>
  <si>
    <t>Liczba nieudanych prób</t>
  </si>
  <si>
    <t>Do uzupełnienia</t>
  </si>
  <si>
    <t>Uzyskany %</t>
  </si>
  <si>
    <t>Punkty w kategorii</t>
  </si>
  <si>
    <t>Uzyskane punkty</t>
  </si>
  <si>
    <t>% ukończenia:</t>
  </si>
  <si>
    <t>Sumy cząstkowe</t>
  </si>
  <si>
    <t>Sumy</t>
  </si>
  <si>
    <t>Minimalne wymagania dla nagrody ESPA</t>
  </si>
  <si>
    <t>Minimalna liczba punktów w kategorii</t>
  </si>
  <si>
    <t>Nagroda Espa</t>
  </si>
  <si>
    <t>Zmierzona wartość</t>
  </si>
  <si>
    <t>Maksymalny wkład w wynik końcowy</t>
  </si>
  <si>
    <t>Wkład w wynik końcowy</t>
  </si>
  <si>
    <t>Spowoduje to usunięcie wszystkich danych z arkusza ESPA. Czy jesteś pewien?</t>
  </si>
  <si>
    <t>Wprowadziłeś nieprawidłowe hasło. Arkusz ESPA nie może być chroniony.</t>
  </si>
  <si>
    <t>Wprowadź swoje hasło, aby odbezpieczyć arkusz ESPA:</t>
  </si>
  <si>
    <t>Wprowadzanie hasła</t>
  </si>
  <si>
    <t>Nieprawidłowe hasło</t>
  </si>
  <si>
    <t>Spowoduje to wydrukowanie 15 stron na aktywnej drukarce. Czy jesteś pewien?</t>
  </si>
  <si>
    <t>Zmiana języka spowoduje zresetowanie wszystkich Twoich poprzednich odpowiedzi. Czy chcesz kontynuować?</t>
  </si>
  <si>
    <t>Obowiązkowe warunki uzyskania Złotej Nagrody</t>
  </si>
  <si>
    <t>Złota Nagroda ESPA</t>
  </si>
  <si>
    <t>Ocena Globalna - Złota Nagroda</t>
  </si>
  <si>
    <t>Arkusz ESPA wykorzystuje makra. Proszę włączyć zawartość lub zamknąć i otworzyć ponownie z włączonymi makrami.</t>
  </si>
  <si>
    <t>Rok budowy</t>
  </si>
  <si>
    <t>Struktura</t>
  </si>
  <si>
    <t>System kontroli dostępu</t>
  </si>
  <si>
    <t>Liczba wind</t>
  </si>
  <si>
    <t>Liczba pięter</t>
  </si>
  <si>
    <t>Charakterystyka parkingu</t>
  </si>
  <si>
    <t>Rano</t>
  </si>
  <si>
    <t>Popołudnie</t>
  </si>
  <si>
    <t>Wieczór</t>
  </si>
  <si>
    <t>Słoneczny</t>
  </si>
  <si>
    <t>Zachmurzenie</t>
  </si>
  <si>
    <t>Deszcz</t>
  </si>
  <si>
    <t>Zmierzch</t>
  </si>
  <si>
    <t>Noc</t>
  </si>
  <si>
    <t>około 50%</t>
  </si>
  <si>
    <t>Tak</t>
  </si>
  <si>
    <t>Nieistotny</t>
  </si>
  <si>
    <t>Czytelne oznakowanie</t>
  </si>
  <si>
    <t>Niepełne oznakowanie</t>
  </si>
  <si>
    <t>Brak oznakowania</t>
  </si>
  <si>
    <t>powyżej 5%</t>
  </si>
  <si>
    <t xml:space="preserve">Tak </t>
  </si>
  <si>
    <t>Brak ochrony</t>
  </si>
  <si>
    <t>Brak krawężników w obszarze wjazdy/wyjazdu</t>
  </si>
  <si>
    <t>Antypoślizgowość</t>
  </si>
  <si>
    <t>Śliski po zmoczeniu</t>
  </si>
  <si>
    <t>3m - 3,3m</t>
  </si>
  <si>
    <t>Słup nie wkracza na teren parkingu</t>
  </si>
  <si>
    <t>Filar na początku miejsca</t>
  </si>
  <si>
    <t>Filar obok drzwi samochodu</t>
  </si>
  <si>
    <t>Filar z tyłu stoiska, ale wkracza na parking</t>
  </si>
  <si>
    <t>Dobra jakość</t>
  </si>
  <si>
    <t>Podstawowa jakość</t>
  </si>
  <si>
    <t>Brak</t>
  </si>
  <si>
    <t>Nieistotne</t>
  </si>
  <si>
    <t>Dobrze</t>
  </si>
  <si>
    <t>Średnio</t>
  </si>
  <si>
    <t>Źle</t>
  </si>
  <si>
    <t>Kąt 76°-90°</t>
  </si>
  <si>
    <t>Kąt 45°-75°</t>
  </si>
  <si>
    <t>powyżej 2.50 m</t>
  </si>
  <si>
    <t>Zgodność z tabelą</t>
  </si>
  <si>
    <t>Do 30 cm mniej</t>
  </si>
  <si>
    <t>Do 60 cm mniej</t>
  </si>
  <si>
    <t>Ponad 60 cm mniej</t>
  </si>
  <si>
    <t>Brak krawężników</t>
  </si>
  <si>
    <t>Antypoślizgowe</t>
  </si>
  <si>
    <t>Gładkie</t>
  </si>
  <si>
    <t>Brak ramp</t>
  </si>
  <si>
    <t>Mniej niż 10%</t>
  </si>
  <si>
    <t>więcej niż 15%</t>
  </si>
  <si>
    <t>Mniej niż 3m</t>
  </si>
  <si>
    <t>Więcej niż 3,3 m</t>
  </si>
  <si>
    <t>bez ramp</t>
  </si>
  <si>
    <t>Mniej niż 4m</t>
  </si>
  <si>
    <t>Ponad 4.3 m</t>
  </si>
  <si>
    <t>Mniej niż 9m</t>
  </si>
  <si>
    <t>Więcej niż 10m</t>
  </si>
  <si>
    <t>Mniej niż 7,5 m</t>
  </si>
  <si>
    <t>7,5 m do 9 m</t>
  </si>
  <si>
    <t>Więcej niż 9 m</t>
  </si>
  <si>
    <t>Mniej niż 5%</t>
  </si>
  <si>
    <t>5% do 7%</t>
  </si>
  <si>
    <t>Więcej niż 7%</t>
  </si>
  <si>
    <t>Brak nachylenia</t>
  </si>
  <si>
    <t>Mniej niż 2.00m</t>
  </si>
  <si>
    <t>2,10 m - 2,20 m</t>
  </si>
  <si>
    <t>Więcej niż 2,20m</t>
  </si>
  <si>
    <t>Tak (połączenie automatyczne lub otwarte)</t>
  </si>
  <si>
    <t>Łatwe do otwarcia</t>
  </si>
  <si>
    <t>Nie</t>
  </si>
  <si>
    <t>Jedna winda</t>
  </si>
  <si>
    <t>Dwie lub więcej wind</t>
  </si>
  <si>
    <t>Więcej niż 8 osób</t>
  </si>
  <si>
    <t>4 do 8 osób</t>
  </si>
  <si>
    <t>Mniej niż 4</t>
  </si>
  <si>
    <t>brak widoczności z windy</t>
  </si>
  <si>
    <t>przeszklone drzwi/ściany</t>
  </si>
  <si>
    <t>brak windy</t>
  </si>
  <si>
    <t>Mniej niż 1,5 m</t>
  </si>
  <si>
    <t>Więcej niż 1,5 m</t>
  </si>
  <si>
    <t>Mniej niż 90 cm</t>
  </si>
  <si>
    <t>Więcej niż 90 cm</t>
  </si>
  <si>
    <t>Przeszklone drzwi/ściana</t>
  </si>
  <si>
    <t>Brak szkła</t>
  </si>
  <si>
    <t>Brak poręczy</t>
  </si>
  <si>
    <t>Jedna strona</t>
  </si>
  <si>
    <t>Dwie strony</t>
  </si>
  <si>
    <t>Okno/okno z kratką</t>
  </si>
  <si>
    <t>brak</t>
  </si>
  <si>
    <t>Wszystkie godziny dostępu, jeśli nie 24*7</t>
  </si>
  <si>
    <t>W niepełnym wymiarze godzin/niedostępne</t>
  </si>
  <si>
    <t>W godzinach dostępu</t>
  </si>
  <si>
    <t>Mniej niż godziny dostępu</t>
  </si>
  <si>
    <t>Zamknięta brama/roleta po godzinach dostępu</t>
  </si>
  <si>
    <t>Zabezpieczone: szybko otwierana brama w ciągu dnia</t>
  </si>
  <si>
    <t>Zabezpieczone: brama wolno otwierająca się w ciągu dnia</t>
  </si>
  <si>
    <t>Brak przepisów</t>
  </si>
  <si>
    <t>Maksymalna apertura brama/roleta &lt;= 15cm</t>
  </si>
  <si>
    <t>Maksymalna apertura Drzwi/brama/roleta &gt; 15cm</t>
  </si>
  <si>
    <t>brak przepisów</t>
  </si>
  <si>
    <t>Nieistotne (otwarcie 24 godziny)</t>
  </si>
  <si>
    <t>Mniej niż 15 cm 15 cm</t>
  </si>
  <si>
    <t>Więcej niż 15 cm lub brak zabezpieczenia</t>
  </si>
  <si>
    <t>Nieistotne (brak otworów zewnętrznych)</t>
  </si>
  <si>
    <t>Tak/Dobrze</t>
  </si>
  <si>
    <t>Nie/Źle</t>
  </si>
  <si>
    <t>Odpowiednio</t>
  </si>
  <si>
    <t>Słabo</t>
  </si>
  <si>
    <t>Widoczny ze wszystkich miejsc</t>
  </si>
  <si>
    <t>Widoczny z większości miejsc</t>
  </si>
  <si>
    <t>Widoczność z niektórych miejsc</t>
  </si>
  <si>
    <t>Brak oznakowania dróg ewakuacyjnych</t>
  </si>
  <si>
    <t>Dobre</t>
  </si>
  <si>
    <t>Parking jednopoziomowy</t>
  </si>
  <si>
    <t>Dobry</t>
  </si>
  <si>
    <t>Niektóre</t>
  </si>
  <si>
    <t>Numeracja, w tym identyfikacja piętra</t>
  </si>
  <si>
    <t>Tylko numery</t>
  </si>
  <si>
    <t>Dostępne miejsca</t>
  </si>
  <si>
    <t>Zajęte/Wolne</t>
  </si>
  <si>
    <t>Na każdym wyjściu dla pieszych</t>
  </si>
  <si>
    <t>Jedna lokalizacja</t>
  </si>
  <si>
    <t>ANPR podłączony do konta bankowego</t>
  </si>
  <si>
    <t>Jeden punkt płatniczy</t>
  </si>
  <si>
    <t>Więcej niż jeden</t>
  </si>
  <si>
    <t>Jeden przy każdym wejściu dla pieszych</t>
  </si>
  <si>
    <t>Więcej niż jeden przy każdym wejściu dla pieszych</t>
  </si>
  <si>
    <t>Jeden</t>
  </si>
  <si>
    <t>Mniej niż 1 na każde 50 miejsc</t>
  </si>
  <si>
    <t>Więcej niż 1 na każde 50 miejsc</t>
  </si>
  <si>
    <t>Mężczyzna/Kobieta Oddzielone</t>
  </si>
  <si>
    <t>Kolorowe słupki</t>
  </si>
  <si>
    <t>Nie/Beton szary</t>
  </si>
  <si>
    <t>Kolorowe ściany</t>
  </si>
  <si>
    <t>Nie/szary beton</t>
  </si>
  <si>
    <t>Nieistotne (poniżej gruntu)</t>
  </si>
  <si>
    <t>Więcej niż 10%</t>
  </si>
  <si>
    <t>Między 5% a 10%</t>
  </si>
  <si>
    <t>Między 2% a 5%</t>
  </si>
  <si>
    <t>Mniej niż 2%</t>
  </si>
  <si>
    <t>Mniej niż 4kW</t>
  </si>
  <si>
    <t>Między 4kW a 10kW</t>
  </si>
  <si>
    <t>Od 10kW do 20kW</t>
  </si>
  <si>
    <t>Więcej niż 20kW</t>
  </si>
  <si>
    <t>Więcej niż 50kW</t>
  </si>
  <si>
    <t>Mniej niż 50kW</t>
  </si>
  <si>
    <t>Między 50kW a 100kW</t>
  </si>
  <si>
    <t>Od 100kW do 200kW</t>
  </si>
  <si>
    <t>Więcej niż 200kW</t>
  </si>
  <si>
    <t>Więcej niż 10 miejsc</t>
  </si>
  <si>
    <t>Od 5 do 10 miejsc</t>
  </si>
  <si>
    <t>Od 1 do 5 miejsc</t>
  </si>
  <si>
    <t>Więcej niż 10</t>
  </si>
  <si>
    <t>Od 1 do 10</t>
  </si>
  <si>
    <t>Do/z wszystkich poziomów</t>
  </si>
  <si>
    <t>Do/z niektórych poziomów</t>
  </si>
  <si>
    <t>Brak schodów ruchomych lub chodników</t>
  </si>
  <si>
    <t>Wyświetlane godziny odjazdów</t>
  </si>
  <si>
    <t>Italian</t>
  </si>
  <si>
    <t>Condizioni minime obbligatorie</t>
  </si>
  <si>
    <t>Il parcheggio deve essere ad uso pubblico</t>
  </si>
  <si>
    <t>Altezza libera minima = 1,90 m, generalmente nelle aree pubbliche. Gli ostacoli inferiori accidentali devono essere chiaramente contrassegnati</t>
  </si>
  <si>
    <t>Deve esserci almeno una corsia di ingresso e uscita dedicata, sebbene siano consentite corsie aggiuntive per gestire flussi maggiori</t>
  </si>
  <si>
    <t>Il 70% delle campate deve essere largo almeno 2,30 m. Per i parcheggi ristrutturati, di età superiore ai dieci anni, è consentita la larghezza minima della campata di 2,25 m (in tal caso si applica una penale - verificare M8).</t>
  </si>
  <si>
    <t>Tutte le rampe rettilinee per il traffico unidirezionale devono avere una larghezza minima di 2,7 metri. Le rampe bidirezionali devono essere larghe almeno 6 m con segnaletica orizzontale. La larghezza della rampa viene misurata tra pareti o pilastri</t>
  </si>
  <si>
    <t>Le rampe curve per il traffico unidirezionale devono avere un raggio esterno minimo di 8,00 metri con larghezza della carreggiata minima di 3,5 metri. Per le rampe curve bidirezionali questo vale per la corsia di marcia interna. Anche la corsia di marcia esterna deve essere larga almeno 3,5 metri.</t>
  </si>
  <si>
    <t>Le pendenze della rampa non devono superare il 20%, da misurare a metà carreggiata. Alle rampe curve bidirezionali questo vale per la corsia di marcia interna (più ripida).</t>
  </si>
  <si>
    <t>Se il parcheggio prevede il pagamento ed il controllo accessi tramite barriere o varchi, il personale deve essere contattabile alla cassa/uscita e agli ingressi pedonali protetti.</t>
  </si>
  <si>
    <t>La ricevuta del pagamento deve essere fornita quando richiesto.</t>
  </si>
  <si>
    <t>Tutti i movimenti di svolta devono poter essere completati senza retromarcia (esclusi ingresso/uscita dal parcheggio e strade senza uscita)</t>
  </si>
  <si>
    <t>Il livello medio di luce nell'area di parcheggio al piano è di almeno 20 Lux</t>
  </si>
  <si>
    <t>Illuminazione</t>
  </si>
  <si>
    <t>Zona ingresso carrabile; a piano terra                                                                                             • Sopra 200 Lux = 5;                                                                                                                                 • Tra 75–200 Lux: 0,04 pt per Lux oltre 75                                                                                                                                                                                                                                                                               • Sotto 75 Lux = 0</t>
  </si>
  <si>
    <t>Entrata; a 1 m di altezza vicino alla biglietteria automatica                                                         • Sopra 200 Lux = 3;                                                                                                                              • Tra 100–200 Lux: 0,03 pt per Lux oltre 100                                                                                        • Sotto 100 Lux = 0</t>
  </si>
  <si>
    <t>Uscita; a 1 m di altezza in prossimità di sbarra/biglietteria                                                             • Sopra 200 Lux = 3;                                                                                                              • Tra 100–200 Lux: 0,03 pt per Lux oltre 100                                                                                                    • Sotto 100 Lux= 0</t>
  </si>
  <si>
    <t>Al bancomat; a 1 m di altezza                                                                                               • Superiore a 200 Lux =4;                                                                                                         • Tra 100–200 Lux: 0,04 pt per Lux oltre 100                                                                                • Sotto 100 Lux= 0;                                                                                                                    • No Pay Machines: uguale all'uscita (inserire zero se questo è il caso)</t>
  </si>
  <si>
    <t>Alla cassa;l'altezza del bancone                                                         • Superiore a 200 Lux =4;                                                                            • Tra 100–200 Lux: 0,04 pt per Lux oltre 100                                       • Sotto 100 Lux= 0;                                                                                               • Nessun cassiere = 3 (inserire zero se questo è il caso)</t>
  </si>
  <si>
    <t>In ascensore; al piano terra                                                                • Sopra 70 Lux = 4;                                                                                    • Tra 30–70 Lux: 0,1 pt per Lux oltre i 30                                            • Sotto 30 Lux = 0;                                                                                      • Livello unico senza ascensore = 3 (inserire zero se questo è il caso)</t>
  </si>
  <si>
    <t>Nelle scale e in tutti gli altri percorsi pedonali esclusivi; a piano terra                                                                                           • Sopra 90 Lux = 3;                                                                                   • Tra 30–90 Lux: 0,05 pt per Lux oltre 30                                                   • Sotto 30 Lux = 0;</t>
  </si>
  <si>
    <t>Livelli di luce nell'area di parcheggio a livello del pavimento: (si prega di compilare la griglia di seguito) Livello medio di luce della griglia:                                                                                         • Superiore a 100 Lux= 10;                                                                       • Tra 20–100 Lux: 0,125 pt per Lux oltre 20                                          • Sotto 20 Lux= 0</t>
  </si>
  <si>
    <t>Uniformità dei livelli di luce nella griglia come deviazione standard                                                                                                  • Sotto il 25% del livello medio di luce = 10;                                                       • Tra il 25 e il 50%: 0,4 pt per % sotto il 50%                                                 • Superiore al 50% = 0</t>
  </si>
  <si>
    <t>Griglia ausiliaria per 2.8</t>
  </si>
  <si>
    <t>Fine del parcheggio sotto/tra l'impianto di illuminazione</t>
  </si>
  <si>
    <t>Posto auto a metà strada sotto/tra illuminazione</t>
  </si>
  <si>
    <t>Bordo del vialetto sotto/tra l'impianto di illuminazione</t>
  </si>
  <si>
    <t>Centro del vialetto sotto/tra l'impianto di illuminazione</t>
  </si>
  <si>
    <t>Altro bordo del vialetto sotto/tra l'impianto di illuminazione</t>
  </si>
  <si>
    <t>Entrata auto / Uscita auto</t>
  </si>
  <si>
    <t>Elenco articoli</t>
  </si>
  <si>
    <t>Limite di altezza libera del parcheggio individuato all'ingresso (sì=1, no=0)</t>
  </si>
  <si>
    <t>Segnaletica corretta all'ingresso (sì=1, no=0)</t>
  </si>
  <si>
    <t>Barriera di altezza (sì=1, no=0)</t>
  </si>
  <si>
    <t>Barriera in gomma per prevenire danni (sì=1, no=0)</t>
  </si>
  <si>
    <t>Altezza:                                                                                                           Il parcheggio dovrebbe ricevere un punto ogni 10 cm di altezza da 1,90 m fino a 2,20 m</t>
  </si>
  <si>
    <t>Segnaletica per definire le limitazioni nell'uso della struttura.                                                                                                                   • Chiara = 3                                                                                                         • Incompleta = 2                                                                                                                          • Nessuna = 0</t>
  </si>
  <si>
    <t>Informazioni su:</t>
  </si>
  <si>
    <t>Termini e condizioni degli operatori all'interno del parcheggio</t>
  </si>
  <si>
    <t>Orari di apertura giornalieri</t>
  </si>
  <si>
    <t>Tariffario</t>
  </si>
  <si>
    <t>Leggibilità del sistema tariffario</t>
  </si>
  <si>
    <t>Indicazioni dell'area di ingresso/uscita</t>
  </si>
  <si>
    <t>Biglietteria automatica di entrata - facilmente raggiungibile:</t>
  </si>
  <si>
    <t>Biglietteria automatica di uscita - facilmente raggiungibile</t>
  </si>
  <si>
    <t>Pendenza longitudinale alle biglietterie automatiche</t>
  </si>
  <si>
    <t>Corsia di ingresso:                                                                                     • 0-2% (l'auto non si muove senza freno) = 1                                                                                               • 2-5% = 0                                                                                                            • Superiore al 5% = -1</t>
  </si>
  <si>
    <t>Corsia di uscita:                                                                                  • 0-2% (l'auto non si muove senza freno) = 1                                                                           • 2-5% = 0                                                                                                        • Superiore al 5% = -1</t>
  </si>
  <si>
    <t>Design del cordolo per evitare danni alle ruote di un veicolo medio:                                                                                                         (Sì = 2, Nessuna protezione = 0, Nessun cordolo in ingresso/uscita = 2)</t>
  </si>
  <si>
    <t>Superfici antiscivolo rampe di accesso/uscita:                                               (Antiscivolo = 1, Scivoloso quando bagnato = 0)</t>
  </si>
  <si>
    <t>Sicurezza di accesso</t>
  </si>
  <si>
    <t>Barriera</t>
  </si>
  <si>
    <t>Citofono</t>
  </si>
  <si>
    <t>Riconoscimento targa</t>
  </si>
  <si>
    <t>Accesso con personale (Entrata o Uscita)</t>
  </si>
  <si>
    <t>La barriera di uscita si apre automaticamente quando viene pagata alla cassa, in base all'ANPR: Sì = 2 , no = 0</t>
  </si>
  <si>
    <t>Entrata/Uscita dell'edificio: larghezza tra la struttura (per corsia) (&lt; 3 m =0, 3 – 3,3 m =1, &gt; 3,3 m = 2)</t>
  </si>
  <si>
    <t>Uscita: la pendenza dell'uscita termina almeno 5 metri prima dell'attraversamento del traffico (pedoni/ciclisti):</t>
  </si>
  <si>
    <t>Area parcheggio</t>
  </si>
  <si>
    <t>Posizionamento dei pilastri per almeno l'85% delle campate:                                                                • non si intromette nel parcheggio = 8                                                                                                       • all'inizio dello stallo = 0                                                                       • vicino alla portiera dell'auto = 0                                                                    • in fondo allo stallo ma si intromette nel parcheggio = 4</t>
  </si>
  <si>
    <t>Protezione ai pilastri per evitare danni alla vettura: buona qualità=2, qualità base=1, nessuna=0, irrilevante=2)</t>
  </si>
  <si>
    <t>Visibilità (molti/pochi angoli morti, muri nel parcheggio ecc.) Buono=4, Medio=2 o Cattivo=0</t>
  </si>
  <si>
    <t>Segnaletica</t>
  </si>
  <si>
    <t>Segnaletica per l'automobilista:</t>
  </si>
  <si>
    <t>La segnaletica stradale è conforme al codice della strada nazionale?</t>
  </si>
  <si>
    <t>Segnali stradali e di svolta: la segnaletica è chiara, completa e non ambigua?</t>
  </si>
  <si>
    <t>Facile da vedere?</t>
  </si>
  <si>
    <t>Non ambigua?</t>
  </si>
  <si>
    <t>Segnali di uscita nel parcheggio: la segnaletica è chiara, completa e inequivocabile?</t>
  </si>
  <si>
    <t>Segnaletica di parcheggio</t>
  </si>
  <si>
    <t>I parcheggi sono chiaramente segnalati?</t>
  </si>
  <si>
    <t>La segnaletica si estende sui muri per assistere il conducente?</t>
  </si>
  <si>
    <t>La segnaletica stradale è:</t>
  </si>
  <si>
    <t>Spazi per disabili</t>
  </si>
  <si>
    <t>Disponibilità di posti per disabili con accesso in sedia a rotelle annunciata all'ingresso del parcheggio:</t>
  </si>
  <si>
    <t>Accessibile per i soggetti con la sedia a rotelle?</t>
  </si>
  <si>
    <t>Accessi minimo 3,5 m di larghezza?</t>
  </si>
  <si>
    <t>Vicino all'uscita pedonale?</t>
  </si>
  <si>
    <t>Guida agli spazi per disabili?</t>
  </si>
  <si>
    <t>Angolo di parcheggio all'85 % dei posti auto: (Angolo 76-90° = 0, Angolo 45-75° = 2)</t>
  </si>
  <si>
    <t>Larghezza degli stalli (85 % degli stalli), A o B:                                 A: Angolo di parcheggio 76 – 90 gradi (2,25 m = -5, 2,30 m = 0, 2,35 m = 2, 2,40 m = 4, 2,45 m = 6, 2,50 m = 8)                               B: Angolo di parcheggio 45-75 gradi (2,25 m = -5, 2,30 m = 1, 2,35 m = 3, 2,40 m = 5, 2,45 m = 8)                                                                                               La larghezza di 2,25 m si applica solo ai parcheggi rinnovati, i parcheggi nuovi devono essere almeno 2,30 m</t>
  </si>
  <si>
    <t xml:space="preserve">Unità di misura totale della larghezza dell'isola a senso unico e profondità di due parcheggi, a seconda dell'angolo di parcheggio e della larghezza:
Larghezza campata: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L'unità di misura totale come sopra si qualifica per 3 punti.
Fino a 30 cm in meno si qualificano per 2 punti
Fino a 60 cm in meno si qualificano per 1 punto
Più di 60 cm in meno: nessun punto assegnato
</t>
  </si>
  <si>
    <t>Design del cordolo per evitare danni alle ruote di un veicolo medio • Sì = 2, Nessuna protezione = 0 , Nessun cordolo = 2</t>
  </si>
  <si>
    <t>Rampe per veicoli</t>
  </si>
  <si>
    <t>È un'auto singola senza rampe?</t>
  </si>
  <si>
    <t>Superficie rampa tra i parcheggi (Antiscivolo 1, Liscio 0, senza rampe 1)</t>
  </si>
  <si>
    <t>Rampa di collegamento in pendenza longitudinale (non adibite a parcheggio)                                                                           • &lt;10%=3, 10-15%=1, &gt;15%=0, nessuna rampa=3</t>
  </si>
  <si>
    <t>Larghezza rampa (tra i cordoli) tutte le rampe misurate nel punto più stretto</t>
  </si>
  <si>
    <t>Le rampe curve devono essere 1 m più larghe per lo stesso punteggio. Le rampe sono frenate?</t>
  </si>
  <si>
    <t>Si prega di scegliere la larghezza. &lt; 3m=0, 3-3,3m=1, &gt;3,3m=3, nessuna rampa=3</t>
  </si>
  <si>
    <t>Si prega di scegliere la larghezza. &lt; 4 m=0, 4-4,3 m=1, &gt;4,3 m=3, nessuna rampa=3</t>
  </si>
  <si>
    <t>Curva di avvicinamento a rampe rettilinee                                                      • &lt;7,5 m=0, 7,5–9 m=1, &gt;9 m=2, nessuna rampa=2</t>
  </si>
  <si>
    <t>Pendenza longitudinale del piano di parcheggio in rampa                                                                                                               • &lt;5%=3, 5-7 =1, &gt;7%=0, nessuna pendenza=3</t>
  </si>
  <si>
    <t>Accesso pedonale</t>
  </si>
  <si>
    <t>Si tratta di un singolo livello di parcheggio piano terra (non scoperto)?</t>
  </si>
  <si>
    <t>Ci sono ascensori che servono il livello della strada?</t>
  </si>
  <si>
    <t>Gli ascensori sono il principale collegamento verticale? (solo scale secondarie o di fuga)</t>
  </si>
  <si>
    <t>Spazio per i pedoni - porte escluse                                                      • &lt;2,00 m = 0                                                                                                  • 2.00m – 2.10m = 1                                                                                   • 2,10 m – 2,20 m = 2                                                                                    • &gt; 2,20 m = 3</t>
  </si>
  <si>
    <t>Percorso a piedi separato (es. intensificato; strisce o colori zebrati) (sì = 2, no = 0)</t>
  </si>
  <si>
    <t>Le porte d'ingresso pedonali sono facili da usare? (Sì, connessione automatica o aperta = 4, Facile da aprire = 2, No = 0)</t>
  </si>
  <si>
    <t>Accesso pedonale controllato da biglietto/tessera a parcheggio aperto (Sì=1, No=0)</t>
  </si>
  <si>
    <t>Numero di ascensori a piano strada: (1 ascensore = 1, 2 + ascensori = 5)</t>
  </si>
  <si>
    <t>Dimensioni degli ascensori: (Più di 8 persone = 3, 4-8 persone = 1, meno di 4 = 0)</t>
  </si>
  <si>
    <t>Visibilità dall'ascensore interno alla hall/parcheggio (nessuna visibilità dall'ascensore = 0, porte/pareti vetrate = 3, nessun ascensore = 0)</t>
  </si>
  <si>
    <t>Indicazione del livello:</t>
  </si>
  <si>
    <t>in ascensore:</t>
  </si>
  <si>
    <t>nell'atrio dell'ascensore:</t>
  </si>
  <si>
    <t>Pulsanti di comando dell'ascensore all'altezza della sedia a rotelle • Sì = 1, No = 0</t>
  </si>
  <si>
    <t>Porte che danno direttamente al parcheggio</t>
  </si>
  <si>
    <t>Larghezza (&lt;90 cm =0, &gt;=90 cm = 2)</t>
  </si>
  <si>
    <t>Porta di emergenza, apertura standard (Sì=2, No= 0)</t>
  </si>
  <si>
    <t>Visibilità (porta/parete vetrata = 3, senza vetro = 0)</t>
  </si>
  <si>
    <t>Scale (visibilità e orientamento)</t>
  </si>
  <si>
    <t>Visualizzazione chiara (Sì = 1, No = 0, Irrilevante = 1)</t>
  </si>
  <si>
    <t>Indicazione del livello (Sì = 1, No = 0, Irrilevante = 1)</t>
  </si>
  <si>
    <t>Scale (incl. maggiore visibilità dei gradini)</t>
  </si>
  <si>
    <t>Larghezza (&lt; 1,5 m = 0, &gt; 1,5 m = 2)</t>
  </si>
  <si>
    <t>Corrimano (nessun corrimano = 0, un lato = 1, due lati = 2)</t>
  </si>
  <si>
    <t>Maggiore visibilità dei gradini per persone con problemi di vista (Sì = 2, No = 0)</t>
  </si>
  <si>
    <t>Pavimentazione antiscivolo su scale: (Sì = 2, No = 0)</t>
  </si>
  <si>
    <t>Aperture esterne nel vano scala (finestra/grigliata verso l'esterno o parcheggio =2, nessuno =0)</t>
  </si>
  <si>
    <t>Attrezzatura di sicurezza</t>
  </si>
  <si>
    <t>CCTV con avviso all'ingresso = 3, No CCTV =0</t>
  </si>
  <si>
    <t>Sorveglianza del personale (in loco oa distanza) • Sì = 5, No = 0</t>
  </si>
  <si>
    <t>CCTV a:</t>
  </si>
  <si>
    <t>Ingresso auto: Sì = 1, No = 0</t>
  </si>
  <si>
    <t>Uscita auto: Sì =1, No =0</t>
  </si>
  <si>
    <t>Macchina a pagamento: Sì =1, No =0</t>
  </si>
  <si>
    <t>Ascensore Hall, ogni livello: Sì =1, No =0</t>
  </si>
  <si>
    <t>Scale, ogni livello: Sì =1, No =0</t>
  </si>
  <si>
    <t>Ingressi pedonali: Sì =1, No =0</t>
  </si>
  <si>
    <t>La maggior parte dell'area di parcheggio (65%): Sì = 3, No = 0</t>
  </si>
  <si>
    <t>Rampe: Sì = 1, No = 0</t>
  </si>
  <si>
    <t>Personale contattabile tramite:</t>
  </si>
  <si>
    <t>Citofono alla cassa e/o ingressi controllati (24/7=3, Tutti gli orari di accesso se non 24/7= 2, Part time/non disponibile = 0)</t>
  </si>
  <si>
    <t>Sistema di chiamata di emergenza in area parcheggio (24/7=3, Tutti gli orari di accesso se non 24/7= 2, Part time/non disponibile = 0)</t>
  </si>
  <si>
    <t>Personale riconoscibile presente e di pattuglia al parcheggio (24/7 = 3, Durante l'accesso Ore = 2, Meno dell'accesso Ore = 1, No = 0)</t>
  </si>
  <si>
    <t>Uscita/ingresso del veicolo con serratura: (Cancello chiuso/tapparella dopo ore di accesso = 2, Sicuro: cancello ad apertura rapida di giorno = 4, Sicuro: cancello ad apertura lenta di giorno = 2, Nessuna disposizione = 0)</t>
  </si>
  <si>
    <t>Uscita/ingresso pedonale chiudibile a chiave (dopo l'orario di apertura). (Porta/cancello/tapparella &lt;= 15 cm apertura massima = 2, oltre 15 cm = 0, nessuna disposizione = 0, Irrilevante (24 ore di apertura) = 4)</t>
  </si>
  <si>
    <t>Griglie su aperture esterne e grate di sicurezza (&lt;= 15 cm = 2, &gt; 15 cm o nessuna protezione= 0, Irrilevante (nessuna apertura esterna) = 2)</t>
  </si>
  <si>
    <t>Orientamento dentro e fuori</t>
  </si>
  <si>
    <t>Identificazione dei posti auto liberi</t>
  </si>
  <si>
    <t>Piano parcheggio (sì/buono = 2, no/cattivo = 0)</t>
  </si>
  <si>
    <t>Fila di parcheggi (sì/buono = 1, no/cattivo = 0)</t>
  </si>
  <si>
    <t>Indicazione di stallo individuale (sì/buono = 2, no/cattivo = 0)</t>
  </si>
  <si>
    <t>Orientamento (veicoli)</t>
  </si>
  <si>
    <t>I piani sono identificati in modo chiaro e separato per i conducenti? (Buono =3, Adeguato =2, Scarso =1, No =0)</t>
  </si>
  <si>
    <t>Le aree dei piani sotterranei sono chiaramente identificate per i conducenti? (Buono =3, Adeguato =2, Scarso =1, No =0)</t>
  </si>
  <si>
    <t>Le scale antincendio e le vie di fuga sono chiaramente segnalate                                                                                               • Cancella da tutte le posizioni = 3                                                                  • la maggior parte delle località= 2                                                 • alcune località=1                                                                                  • Nessuna segnaletica delle vie di fuga=0)</t>
  </si>
  <si>
    <t>I livelli dei pavimenti sono chiaramente indicati? (buono =3, adeguato=2, scarso=1, nessuno =0. Parcheggi a un piano = 3)</t>
  </si>
  <si>
    <t>C'è un'ulteriore segnaletica o indicazioni per orientare il pedone sul parcheggio (buono =2, alcuni =1, nessuno = 0)</t>
  </si>
  <si>
    <t>I parcheggi sono numerati individualmente (Numerato comprensivo di identificazione del piano =2, solo numeri =1, nessuno =0)</t>
  </si>
  <si>
    <t>Uso dei colori per trovare la strada (Sì= 1, No= 0)</t>
  </si>
  <si>
    <t>Segnaletica di orientamento per le auto sulle strade per il parcheggio</t>
  </si>
  <si>
    <t>Solo sistema di segnaletica statica (Sì = 1, No = 0)</t>
  </si>
  <si>
    <t>Sistema di segnaletica dinamica aggiuntivo (Spazi disponibili = 2, Pieno/Libero = 1, No = 0)</t>
  </si>
  <si>
    <t>Guida al parcheggio nelle app di navigazione (sì = 2, no= 0)</t>
  </si>
  <si>
    <t>Segnaletica luminosa all'ingresso del parcheggio</t>
  </si>
  <si>
    <t>Segnale freccia verde, croce rossa per la direzione (Sì = 1, No = 0)</t>
  </si>
  <si>
    <t>Informazioni dinamiche aggiuntive (Spazi disponibili = 2, Pieno/Libero = 1, No = 0)</t>
  </si>
  <si>
    <t>Segnaletica all'ingresso pedonale (Sì = 1, No = 0)</t>
  </si>
  <si>
    <t>Piano della città in posizione centrale nel parcheggio: (Su ogni uscita pedonale = 2, Una posizione = 1, No = 0)</t>
  </si>
  <si>
    <t>Guida:</t>
  </si>
  <si>
    <t>alle principali attrazioni intorno al parcheggio all'uscita pedonale (Sì=1, No=0):</t>
  </si>
  <si>
    <t>intorno al parcheggio agli ingressi pedonali (Sì=1, No=0):</t>
  </si>
  <si>
    <t>Comodità e Varie</t>
  </si>
  <si>
    <t>Bacheca ingresso/uscita pedonale riportante:</t>
  </si>
  <si>
    <t>Orario di accesso normale/speciale (si = 1, no = 0)</t>
  </si>
  <si>
    <t>Scheda tariffaria leggibile e comprensibile (sì = 1, no = 0)</t>
  </si>
  <si>
    <t>Termini e condizioni degli operatori (sì = 1, no = 0)</t>
  </si>
  <si>
    <t>Opzioni di pagamento (paga all'uscita/paga alla cassa):</t>
  </si>
  <si>
    <t>Accetta contanti? (sì =1, no =0)</t>
  </si>
  <si>
    <t>Accetta carte di credito nazionali? (sì=1, no=0)</t>
  </si>
  <si>
    <t>Accetta carte di debito e credito internazionali (sì=1, no=0)</t>
  </si>
  <si>
    <t>Pagamento con Smartphone? (sì =1, no =0)</t>
  </si>
  <si>
    <t>Accetta altri metodi di pagamento? Quanti? (1 punto per opzione aggiuntiva fino a 3)</t>
  </si>
  <si>
    <t>Opzioni di pagamento all'uscita:</t>
  </si>
  <si>
    <t>Carte bancarie, nazionali (sì =1, no =0)</t>
  </si>
  <si>
    <t>Carte di debito e credito internazionali (sì =1, no =0)</t>
  </si>
  <si>
    <t>Riconoscimento targa collegato a conto corrente o app (si =1, no =0).</t>
  </si>
  <si>
    <t>Dispositivo RFID connesso a conto corrente bancario o app (sì =1, no =0).</t>
  </si>
  <si>
    <t>Accetta il regime di traffico generale nazionale (ad es. Pedaggio, trasporto pubblico) (sì =1, no =0)</t>
  </si>
  <si>
    <t>Pagamento con smartphone? (sì =1, no =0)</t>
  </si>
  <si>
    <t>L'apertura della barriera all'ingresso avvia automaticamente la transazione di parcheggio senza biglietto con pagamento automatico: Controllo remoto tramite app, collegato a conto corrente bancario Sì=1, no=0 Basato su ANPR collegato a conto bancario Sì=1 aggiuntivo</t>
  </si>
  <si>
    <t>Numero di Pay point per parcheggi a Barriera:                                       (Una cassa = 0, Più di una =1, Una per ogni ingresso pedonale, escluse le scale antincendio =2, Più di una per ogni ingresso pedonale =3)</t>
  </si>
  <si>
    <t>Number of Pay points for Pay and Display Car Parks (One =0, &lt; 1 for every 50 spaces =2, &gt;1 for every 50 spaces =3)</t>
  </si>
  <si>
    <t>Servizi igienici per i clienti:</t>
  </si>
  <si>
    <t>Esistono? (sì= 2, no= 0)</t>
  </si>
  <si>
    <t>Toilette per disabili? (sì=1, no= 0)</t>
  </si>
  <si>
    <t>unisex = 0, maschio/femmina separati = 1</t>
  </si>
  <si>
    <t>operatore: si=1, no= 0</t>
  </si>
  <si>
    <t>Uso di colori/lavori di abbellimento</t>
  </si>
  <si>
    <t>Pilastri colorati =1, no/grigio cemento = 0</t>
  </si>
  <si>
    <t>Pareti colorate =1, no/grigio cemento = 0</t>
  </si>
  <si>
    <t>Abbellimento extra</t>
  </si>
  <si>
    <t>Opera d'arte: (Sì = 2, No = 0)</t>
  </si>
  <si>
    <t>Fioriere: (Sì = 1, No = 0)</t>
  </si>
  <si>
    <t>Altro: (Sì = 1, No = 0)</t>
  </si>
  <si>
    <t>Copertura cellulare (Sì = 2, No = 0)</t>
  </si>
  <si>
    <t>Continuità dei segnali radio (Sì = 1, No = 0)</t>
  </si>
  <si>
    <t>Musica</t>
  </si>
  <si>
    <t>Musica di sottofondo: sì = 2, No = 0</t>
  </si>
  <si>
    <t>Differenziazione per la ricerca del percorso: sì =1, No = 0</t>
  </si>
  <si>
    <t>Cestini per i rifiuti</t>
  </si>
  <si>
    <t>Cestini all'ingresso pedonale/zona scale Sì =1, no=0</t>
  </si>
  <si>
    <t>Cestini al piano parcheggio (&gt;1 ogni 100 posti) Sì=1, no=0</t>
  </si>
  <si>
    <t>Punto di ritiro per consegne locali e online: si=1, no =0</t>
  </si>
  <si>
    <t>Energia e ambiente</t>
  </si>
  <si>
    <t>Sistemi di illuminazione a risparmio energetico</t>
  </si>
  <si>
    <t>Compensazione del fattore di potenza (Sì=1, No=0)</t>
  </si>
  <si>
    <t>Altri sistemi (Sì=1, No=0)</t>
  </si>
  <si>
    <t>Luci variabili di rilevamento del movimento, qualità residua (sì= 2, no= 0)</t>
  </si>
  <si>
    <t>Illuminazione adattabile per la compensazione della luce diurna nell'area d'ingresso (sì= 2, no= 0)</t>
  </si>
  <si>
    <t>Illuminazione adattabile alle condizioni di luce ambientale sul pavimento del parcheggio rispetto alla luce del giorno (sì= 2, no= 0, Irrilevante (sottoterra) =2)</t>
  </si>
  <si>
    <t>Pannelli solari sul tetto o altre iniziative di energia verde (sì= 2, no= 0)</t>
  </si>
  <si>
    <t>Trattamento speciale dell'acqua di pulizia: • si= 2, no= 0</t>
  </si>
  <si>
    <t>Acque grigie o riutilizzo dell'acqua piovana: • si= 2, no= 0</t>
  </si>
  <si>
    <t>Punti di ricarica pubblici Veicoli Elettrici:</t>
  </si>
  <si>
    <t>più del 10% dei vani dotati di punto di ricarica EV = 4, 5%-10% dei vani = 3, 2%-5% dei vani = 2, meno del 2% dei vani=1, Nessuno=0</t>
  </si>
  <si>
    <t>Capacità media per punto di ricarica &lt;4kW=0, 4-10kW=1, 10-20kW=2, &gt;20kW=3. Caricabatterie veloci &gt;50kW= 1 punto aggiuntivo</t>
  </si>
  <si>
    <t>Potenza intelligente totale per 100 spazi &lt;50kW=0, 50-100kW=1, 100-200kW=2, &gt;200 kW=3</t>
  </si>
  <si>
    <t>Punti di ricarica concentrati intorno all'ingresso per un accesso antincendio più sicuro (sì =1, no =0)</t>
  </si>
  <si>
    <t>Prenotazione facoltativa del punto di ricarica integrato con il sistema di prenotazione: (sì =1, no =0)</t>
  </si>
  <si>
    <t>Hub per la mobilità</t>
  </si>
  <si>
    <t>Car sharing spazi designati &gt;10 posti = 3, 5-10 posti =2, 1-5 posti = 1, nessuno =0</t>
  </si>
  <si>
    <t>Hub servito con pulizia: 1 punto</t>
  </si>
  <si>
    <t>Hub per biciclette condivise e/o e-scooter, separato dal parcheggio: &gt;10 unità =2, 1-10 unità =1, nessuna =0</t>
  </si>
  <si>
    <t>Punti di ricarica per veicoli elettrici leggeri: &gt;10 =2, 1-10 =1, nessuno =0,</t>
  </si>
  <si>
    <t>Le biciclette condividono l'accesso attraverso il piano parcheggio/zona auto: 1 punto in meno</t>
  </si>
  <si>
    <t xml:space="preserve"> Nuovo parcheggio realizzato secondo le linee guida per il riciclaggio (sì =1, no =0)</t>
  </si>
  <si>
    <t>Altre iniziative ambientali: (sì =2, no =0)</t>
  </si>
  <si>
    <t>Punti meno</t>
  </si>
  <si>
    <t>Presenza di graffiti</t>
  </si>
  <si>
    <t>Scale (Sì= -2, No= 0)</t>
  </si>
  <si>
    <t>Ascensore (Sì= -2, No= 0)</t>
  </si>
  <si>
    <t>Servizi igienici (Sì= -2, No= 0)</t>
  </si>
  <si>
    <t>Parcheggio (Sì= -2, No= 0)</t>
  </si>
  <si>
    <t>Pareti esterne (Sì= -2, No= 0)</t>
  </si>
  <si>
    <t>Presenza di sporco</t>
  </si>
  <si>
    <t>Fuori ingresso pedoni + auto (Sì= -2, No= 0)</t>
  </si>
  <si>
    <t>Scarsa qualità della verniciatura</t>
  </si>
  <si>
    <t>Contrassegni orizzontali (Sì= -2, No= 0)</t>
  </si>
  <si>
    <t>Scarsa qualità/mancanza di manutenzione (buche, danni)</t>
  </si>
  <si>
    <t>Piani (Sì= -2, No= 0)</t>
  </si>
  <si>
    <t>Pareti (Sì= -2, No= 0)</t>
  </si>
  <si>
    <t>Evidenza di acqua stagnante (Sì= -2, No= 0)</t>
  </si>
  <si>
    <t>Evidenze di cattivi odori</t>
  </si>
  <si>
    <t>Ascensori (Sì= -2, No= 0)</t>
  </si>
  <si>
    <t>Oltre il 15% dei parcheggi in una strada senza uscita senza indicazione di occupazione. (Sì= -5, No=0)</t>
  </si>
  <si>
    <t>Vari punti di critica (da spiegare!) [Es. rumore sordo, pneumatici che scricchiolano, visitatori indesiderati, ecc.] fino a -10</t>
  </si>
  <si>
    <t>Penalità per Condizione Obbligatoria 1.4 Si applica</t>
  </si>
  <si>
    <t>Punti bonus</t>
  </si>
  <si>
    <t>Disposizioni extra nel parcheggio</t>
  </si>
  <si>
    <t>Area motociclistica speciale (Sì= 1, No= 0)</t>
  </si>
  <si>
    <t>Lockers ad uso dei clienti (Sì= 1, No= 0)</t>
  </si>
  <si>
    <t>Altri ausili (Sì= 1, No= 0)</t>
  </si>
  <si>
    <t>Noleggio biciclette (Sì= 1, No= 0)</t>
  </si>
  <si>
    <t>Altro Assistenza alla guida (Sì= 1, No= 0)</t>
  </si>
  <si>
    <t>Distributori automatici (Sì= 1, No= 0)</t>
  </si>
  <si>
    <t>Defibrillatore cardiaco (Sì= 1, No= 0)</t>
  </si>
  <si>
    <t>Personale addestrato al pronto soccorso (Sì= 1, No= 0)</t>
  </si>
  <si>
    <t>Dati sul traffico in tempo reale (Sì= 1, No= 0)</t>
  </si>
  <si>
    <t>Parcheggio Scambio dati tramite standard APDS (Sì=1, no=0)</t>
  </si>
  <si>
    <t>Altre informazioni accessibili in tempo reale (es. eventi locali) (Sì= 1, No= 0)</t>
  </si>
  <si>
    <t>Misure per evitare code nelle ore di punta (es. corsia di marea all'ingresso/uscita delle auto) - (Sì= 3, No= 0)</t>
  </si>
  <si>
    <t>Possibilità di svolta per le auto prima della barriera di altezza o del segnale completo per impedire la retromarcia (Sì= 3, No= 0)</t>
  </si>
  <si>
    <t>Servizio clienti (Sì= 1, No= 0)</t>
  </si>
  <si>
    <t>Scale mobili e/o mobili (A/da tutti i livelli =5, A/da alcuni livelli =3, Nessuna scala mobile o mobile = 0)</t>
  </si>
  <si>
    <t>Localizzazione delle auto parcheggiate tramite biglietto o targa (Sì= 1, No= 0)</t>
  </si>
  <si>
    <t>Parcheggio senza barriere con controllo ANPR: 1 punto in più</t>
  </si>
  <si>
    <t>Park&amp;ride/nodo di trasporto pubblico all'uscita pedonale si=1, no=0, orari di partenza effettivi visualizzati nel parcheggio: 1 punto in più</t>
  </si>
  <si>
    <t>Supporto al parcheggio con valet autonomo (AVP) in zona dedicata del parcheggio: Sì=5, no=0</t>
  </si>
  <si>
    <t>Altri punti positivi ad es. servizi extra, personale cordiale, pareti/pavimenti piastrellati, buona sistemazione del parcheggio nel paesaggio urbano ecc. fino a dieci punti bonus aggiuntivi. Da identificare esplicitamente.</t>
  </si>
  <si>
    <t>Viene pubblicato e mantenuto un piano di assistenza sanitaria per l'edificio? Sì=1, no=)</t>
  </si>
  <si>
    <t>È in atto e implementato un piano di sostenibilità (compresa una strategia di riciclaggio di fine vita)? Sì=1, no=0</t>
  </si>
  <si>
    <t>Il consumo energetico giornaliero, mensile e annuale è visualizzato nell'area pedonale? Sì=1, no=0</t>
  </si>
  <si>
    <t>Premio d'oro</t>
  </si>
  <si>
    <t>Altezza interna minima = 2,00 m, generalmente nelle aree pubbliche. Gli ostacoli inferiori accidentali devono essere chiaramente contrassegnati.</t>
  </si>
  <si>
    <t>Il 70% delle campate deve essere largo almeno 2,40 m.</t>
  </si>
  <si>
    <t>Il livello medio di luce nell'area di parcheggio al piano è minimo 50 Lux</t>
  </si>
  <si>
    <t>Mattina</t>
  </si>
  <si>
    <t>Pomeriggio</t>
  </si>
  <si>
    <t>Sera</t>
  </si>
  <si>
    <t>Soleggiato</t>
  </si>
  <si>
    <t>Nuvoloso</t>
  </si>
  <si>
    <t>Piovere</t>
  </si>
  <si>
    <t>Crepuscolo</t>
  </si>
  <si>
    <t>Notte</t>
  </si>
  <si>
    <t xml:space="preserve"> circa il 50%</t>
  </si>
  <si>
    <t>Fallire</t>
  </si>
  <si>
    <t>sì</t>
  </si>
  <si>
    <t>Irrilevante</t>
  </si>
  <si>
    <t>Firma chiara</t>
  </si>
  <si>
    <t>Firma incompleta</t>
  </si>
  <si>
    <t>Nessuna firma</t>
  </si>
  <si>
    <t>Sopra il 5%</t>
  </si>
  <si>
    <t>Nessuna protezione</t>
  </si>
  <si>
    <t>Nessun cordolo nell'area di ingresso/uscita</t>
  </si>
  <si>
    <t>Anti scivolo</t>
  </si>
  <si>
    <t>Scivoloso quando bagnato</t>
  </si>
  <si>
    <t>3m – 3,3m</t>
  </si>
  <si>
    <t xml:space="preserve"> &gt; 3,3 m</t>
  </si>
  <si>
    <t>Il pilastro non si intromette nel parcheggio</t>
  </si>
  <si>
    <t>Pilastro all'inizio dello stallo</t>
  </si>
  <si>
    <t>Pilastro accanto alla portiera dell'auto</t>
  </si>
  <si>
    <t>Pilastro in fondo allo stallo ma si intromette nell'area di parcheggio</t>
  </si>
  <si>
    <t>Buona qualità</t>
  </si>
  <si>
    <t>Qualità base</t>
  </si>
  <si>
    <t>Nessuno</t>
  </si>
  <si>
    <t>Bene</t>
  </si>
  <si>
    <t>medio</t>
  </si>
  <si>
    <t>Male</t>
  </si>
  <si>
    <t>Angolo 76°-90°</t>
  </si>
  <si>
    <t>Angolo 45°-75°</t>
  </si>
  <si>
    <t xml:space="preserve"> 2,25 m - 2,30 m</t>
  </si>
  <si>
    <t xml:space="preserve"> 2,30 m - 2,35 m</t>
  </si>
  <si>
    <t xml:space="preserve"> 2,35 m - 2,40 m</t>
  </si>
  <si>
    <t xml:space="preserve"> 2,40 m - 2,45 m</t>
  </si>
  <si>
    <t xml:space="preserve"> 2,45 m - 2,50 m</t>
  </si>
  <si>
    <t xml:space="preserve"> oltre 2,50 m</t>
  </si>
  <si>
    <t>Conforme alla tavola</t>
  </si>
  <si>
    <t>Fino a 30 cm in meno</t>
  </si>
  <si>
    <t>Fino a 60 cm in meno</t>
  </si>
  <si>
    <t>Più di 60 cm in meno</t>
  </si>
  <si>
    <t>Nessun cordolo</t>
  </si>
  <si>
    <t>Liscio</t>
  </si>
  <si>
    <t>Nessuna rampa</t>
  </si>
  <si>
    <t>Meno di 10%</t>
  </si>
  <si>
    <t>oltre il 15%</t>
  </si>
  <si>
    <t>Meno di 3 m</t>
  </si>
  <si>
    <t>Più di 3,3 m</t>
  </si>
  <si>
    <t>niente rampe</t>
  </si>
  <si>
    <t>Meno di 4 m</t>
  </si>
  <si>
    <t>4m - 4,3m</t>
  </si>
  <si>
    <t>Più di 4,3 m</t>
  </si>
  <si>
    <t>Meno di 9 m</t>
  </si>
  <si>
    <t>Più di 10 m</t>
  </si>
  <si>
    <t>Meno di 7,5 m</t>
  </si>
  <si>
    <t>Da 7,5 a 9 m</t>
  </si>
  <si>
    <t>Più di 9 m</t>
  </si>
  <si>
    <t>Meno del 5%</t>
  </si>
  <si>
    <t>dal 5% al ​​7%</t>
  </si>
  <si>
    <t>Più del 7%</t>
  </si>
  <si>
    <t>Nessun gradiente</t>
  </si>
  <si>
    <t>Meno di 2,00 m</t>
  </si>
  <si>
    <t>Più di 2,20 m</t>
  </si>
  <si>
    <t>Sì (connessione automatica o aperta)</t>
  </si>
  <si>
    <t>Facile da aprire</t>
  </si>
  <si>
    <t>Un ascensore</t>
  </si>
  <si>
    <t>Due o più ascensori</t>
  </si>
  <si>
    <t>Più di 8 persone</t>
  </si>
  <si>
    <t>Da 4 a 8 persone</t>
  </si>
  <si>
    <t>Meno di 4</t>
  </si>
  <si>
    <t>nessuna visibilità dall'ascensore</t>
  </si>
  <si>
    <t>porte/pareti vetrate</t>
  </si>
  <si>
    <t>senza ascensore</t>
  </si>
  <si>
    <t>Meno di 1,5 m</t>
  </si>
  <si>
    <t>Più di 1,5 m</t>
  </si>
  <si>
    <t>Meno di 90 cm</t>
  </si>
  <si>
    <t>Più di 90 cm</t>
  </si>
  <si>
    <t>Porta/muro vetrata</t>
  </si>
  <si>
    <t>Nessun vetro</t>
  </si>
  <si>
    <t>Nessun corrimano</t>
  </si>
  <si>
    <t>Un lato</t>
  </si>
  <si>
    <t>Due lati</t>
  </si>
  <si>
    <t>finestra/grigliata</t>
  </si>
  <si>
    <t>nessuno</t>
  </si>
  <si>
    <t>Tutti gli orari di accesso se non 24*7</t>
  </si>
  <si>
    <t>Part time/non disponibile</t>
  </si>
  <si>
    <t>Durante gli orari di accesso</t>
  </si>
  <si>
    <t>Meno degli orari di accesso</t>
  </si>
  <si>
    <t>Cancello/tapparella chiusa dopo l'orario di accesso</t>
  </si>
  <si>
    <t>Sicuro: cancello ad apertura rapida durante il giorno</t>
  </si>
  <si>
    <t>Sicuro: cancello ad apertura lenta durante il giorno</t>
  </si>
  <si>
    <t>Nessuna disposizione</t>
  </si>
  <si>
    <t>Apertura massima Porta/cancello/tapparella &lt;= 15 cm</t>
  </si>
  <si>
    <t>Apertura massima Porta/cancello/tapparella &gt; 15 cm</t>
  </si>
  <si>
    <t>nessuna disposizione</t>
  </si>
  <si>
    <t>Irrilevante (apertura 24 ore)</t>
  </si>
  <si>
    <t>Meno di 15 cm 15 cm</t>
  </si>
  <si>
    <t>Più di 15 cm o nessuna protezione</t>
  </si>
  <si>
    <t>Irrilevante (nessuna apertura esterna)</t>
  </si>
  <si>
    <t>Sì/bene</t>
  </si>
  <si>
    <t>Non male</t>
  </si>
  <si>
    <t>Adeguato</t>
  </si>
  <si>
    <t>Povero</t>
  </si>
  <si>
    <t>Chiaro da tutte le posizioni</t>
  </si>
  <si>
    <t>Chiaro dalla maggior parte delle posizioni</t>
  </si>
  <si>
    <t>Chiaro da alcune posizioni</t>
  </si>
  <si>
    <t>Nessuna segnaletica delle vie di fuga</t>
  </si>
  <si>
    <t>Parcheggio unico livello</t>
  </si>
  <si>
    <t>Alcuni</t>
  </si>
  <si>
    <t>Numeri comprensivi di identificazione del piano</t>
  </si>
  <si>
    <t>Solo numeri</t>
  </si>
  <si>
    <t>Spazi disponibili</t>
  </si>
  <si>
    <t>Completo/gratuito</t>
  </si>
  <si>
    <t>Ad ogni uscita pedonale</t>
  </si>
  <si>
    <t>Una posizione</t>
  </si>
  <si>
    <t>ANPR allegato a conto corrente bancario</t>
  </si>
  <si>
    <t>Una cassa</t>
  </si>
  <si>
    <t>Più di una</t>
  </si>
  <si>
    <t>Uno per ogni ingresso pedonale</t>
  </si>
  <si>
    <t>Più di uno per ogni ingresso pedonale</t>
  </si>
  <si>
    <t>Uno</t>
  </si>
  <si>
    <t>Meno di 1 ogni 50 spazi</t>
  </si>
  <si>
    <t>Più di 1 ogni 50 spazi</t>
  </si>
  <si>
    <t>Maschio/Femmina Separati</t>
  </si>
  <si>
    <t>Pilastri colorati</t>
  </si>
  <si>
    <t>No/Grigio cemento</t>
  </si>
  <si>
    <t>Pareti colorate</t>
  </si>
  <si>
    <t>Irrilevante (sottoterra)</t>
  </si>
  <si>
    <t>Più di 10%</t>
  </si>
  <si>
    <t>Tra il 5% e il 10%</t>
  </si>
  <si>
    <t>Tra il 2% e il 5%</t>
  </si>
  <si>
    <t>Meno del 2%</t>
  </si>
  <si>
    <t>Meno di 4kW</t>
  </si>
  <si>
    <t>Tra 4kW e 10kW</t>
  </si>
  <si>
    <t>Tra 10kW e 20kW</t>
  </si>
  <si>
    <t>Più di 20kW</t>
  </si>
  <si>
    <t>Più di 50 kW</t>
  </si>
  <si>
    <t>Meno di 50 kW</t>
  </si>
  <si>
    <t>Tra 50kW e 100kW</t>
  </si>
  <si>
    <t>Tra 100kW e 200kW</t>
  </si>
  <si>
    <t>Più di 200 kW</t>
  </si>
  <si>
    <t>Più di 10 spazi</t>
  </si>
  <si>
    <t>Da 5 a 10 spazi</t>
  </si>
  <si>
    <t>Da 1 a 5 spazi</t>
  </si>
  <si>
    <t>Più di 10</t>
  </si>
  <si>
    <t>Da 1 a 10</t>
  </si>
  <si>
    <t>A/da tutti i livelli</t>
  </si>
  <si>
    <t>A/da alcuni livelli</t>
  </si>
  <si>
    <t>Nessuna scala mobile</t>
  </si>
  <si>
    <t>Orari di partenza visualizzati</t>
  </si>
  <si>
    <t>Lingua</t>
  </si>
  <si>
    <t>Paese</t>
  </si>
  <si>
    <t>Nome del parcheggio</t>
  </si>
  <si>
    <t>Indirizzo</t>
  </si>
  <si>
    <t>Città</t>
  </si>
  <si>
    <t>Numero di stalli</t>
  </si>
  <si>
    <t>Operatore</t>
  </si>
  <si>
    <t>Nome del contatto</t>
  </si>
  <si>
    <t>Telefono</t>
  </si>
  <si>
    <t>Giudicato da</t>
  </si>
  <si>
    <t>Condizioni di valutazione</t>
  </si>
  <si>
    <t>Ora del giorno</t>
  </si>
  <si>
    <t>Condizioni meteo</t>
  </si>
  <si>
    <t>Tasso di occupazione</t>
  </si>
  <si>
    <t>Completato</t>
  </si>
  <si>
    <t>Commenti</t>
  </si>
  <si>
    <t>Ok</t>
  </si>
  <si>
    <t>Articoli insufficienti:</t>
  </si>
  <si>
    <t>Non valutato:</t>
  </si>
  <si>
    <t>Passaggio</t>
  </si>
  <si>
    <t>Insufficienze</t>
  </si>
  <si>
    <t>Articoli totali</t>
  </si>
  <si>
    <t>Totale articoli + articoli secondari</t>
  </si>
  <si>
    <t>Itens completato</t>
  </si>
  <si>
    <t>Non misurato</t>
  </si>
  <si>
    <t>Punto</t>
  </si>
  <si>
    <t>Punteggio massimo</t>
  </si>
  <si>
    <t>Percentuale</t>
  </si>
  <si>
    <t>Valore di categoria</t>
  </si>
  <si>
    <t>Valutazione globale</t>
  </si>
  <si>
    <t>Numero di articoli</t>
  </si>
  <si>
    <t>Numero di ok</t>
  </si>
  <si>
    <t>Numero di errori</t>
  </si>
  <si>
    <t>Sarà completato</t>
  </si>
  <si>
    <t>% ottenimento</t>
  </si>
  <si>
    <t>Minimo</t>
  </si>
  <si>
    <t>Punti di categoria</t>
  </si>
  <si>
    <t>Punti ottenuti</t>
  </si>
  <si>
    <t>Stato</t>
  </si>
  <si>
    <t>% di completamento:</t>
  </si>
  <si>
    <t>Subtotali</t>
  </si>
  <si>
    <t>Totali</t>
  </si>
  <si>
    <t>Requisito minimo per il premio ESPA</t>
  </si>
  <si>
    <t>Categorie Punti minimi</t>
  </si>
  <si>
    <t>Premio Espa</t>
  </si>
  <si>
    <t>Valore misurato</t>
  </si>
  <si>
    <t>Contributo massimo per il punteggio finale</t>
  </si>
  <si>
    <t>Contributo per il punteggio finale</t>
  </si>
  <si>
    <t>Osservazioni</t>
  </si>
  <si>
    <t>Appunti</t>
  </si>
  <si>
    <t>Questo cancellerà tutti i dati nel foglio di lavoro ESPA. Sei sicuro?</t>
  </si>
  <si>
    <t>Hai inserito una password errata. I fogli di lavoro ESPA non possono essere protetti.</t>
  </si>
  <si>
    <t>Inserisci la tua password per umprotect ESPA Worksheet:</t>
  </si>
  <si>
    <t>Inserimento password</t>
  </si>
  <si>
    <t>Password errata</t>
  </si>
  <si>
    <t>Questo stamperà 15 pagine sulla tua stampante attiva. Sei sicuro?</t>
  </si>
  <si>
    <t>Mettere in guardia</t>
  </si>
  <si>
    <t>La modifica della lingua ripristinerà tutte le risposte precedenti. Vuoi procedere?</t>
  </si>
  <si>
    <t>Condizioni obbligatorie per il Gold Award</t>
  </si>
  <si>
    <t>Premio ESPA Gold</t>
  </si>
  <si>
    <t>Valutazione globale - Gold Award</t>
  </si>
  <si>
    <t>Il foglio di lavoro ESPA utilizza le macro. Abilita il contenuto o chiudi e riapri con Macro abilitate</t>
  </si>
  <si>
    <t>Anno di costruzione</t>
  </si>
  <si>
    <t>Struttura</t>
  </si>
  <si>
    <t>Sistema di controllo accessi</t>
  </si>
  <si>
    <t>Numero di ascensori</t>
  </si>
  <si>
    <t>Numero di piani</t>
  </si>
  <si>
    <t>Caratteristiche principali del parcheggio</t>
  </si>
  <si>
    <t>Höhenkontrollbalken (ja = 1; nein = 0)</t>
  </si>
  <si>
    <t xml:space="preserve">Position der Säulen bei mindestens 85% der Stellplätze:
• ragen nicht in die Stellplätze = 8 
• im vorderen Bereich der Stellplätze = 0
• in der Nähe der Fahrzeugtüren = 0
• im hinteren Bereich der Stellplätze, aber ragen in die Stellplätze = 4 </t>
  </si>
  <si>
    <t>Beschilderung für Autofahrer</t>
  </si>
  <si>
    <t>Wegführung und Richtungsanzeigen: Ist die Beschilderung sauber, vollständig und eindeutig?</t>
  </si>
  <si>
    <t>Ausfahrts- / Ausgangsbeschilderung: Ist die Beschilderung sauber, vollständig und eindeutig?</t>
  </si>
  <si>
    <t>Sind die Stellplätze deutlich gekennzeichnet?</t>
  </si>
  <si>
    <t>Mindeststellplatzbreite: 3,50 m?</t>
  </si>
  <si>
    <t>Nahe zum Fußgängerausgang?</t>
  </si>
  <si>
    <t>Hinweisbeschilderung zu Stellplätzen für Personen mit Einschränkungen?</t>
  </si>
  <si>
    <t>Einstellwinkel bei mindestens 85% der Stellplätze:  (76° - 90° = 0; 45° - 75° = 2)</t>
  </si>
  <si>
    <t>Stellplatzbreite  (85 % der Stellplätze), A or B: 
A: Einstellwinkel 76° - 90°
(2,25m = -5; 2,30m = 0; 2,35m = 2; 2,40m = 4; 2,45m = 6; 2,50m = 8) 
B: Einstellwinkel 45° - 75°
(2,25m = -5; 2,30m = 1; 2,35m = 3; 2,40m = 5; 2,45m = 8)
Breite von 2,25m nur für renovierte Betriebe, neue Betrieben müssen mindestens 2,30m aufweisen.</t>
  </si>
  <si>
    <t>Fahrbahnbreite bei Einbahnbetrieb und zwei Stellplatzreihen, abhängig von Einstellwinkel und Stellplatzbreite: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Die oben genannten Breiten qualifizieren für 3 Punkte. 
Bis 0,30 m unter den o.a. Werten: 2 Punkte
Bis 0,60 m unter den o.a. Werten: 1 Punkt
Mehr als 0,60 m unter den o.a. Werten: 0 Punkte</t>
  </si>
  <si>
    <t>Design der Schrammborde, um Schaden an den Fahrzeugrädern zu verhindern:
(Ja = 2, kein Schutz = 0, keine Schrammborde = 2)</t>
  </si>
  <si>
    <t>Auf-/Abfahrtsrampen</t>
  </si>
  <si>
    <t>Eingeschossiger Betrieb ohne Rampen?</t>
  </si>
  <si>
    <t>Bodenbelag der Rampen (rutschhemmend = 1; Glatt = 0; keine Rampe = 1)</t>
  </si>
  <si>
    <t>Gefälle der Verbindungsrampen (keine Parkrampen)
•  &lt; 10 % = 3; 10 - 15 % = 1; &gt; 15 % = 0; keine Rampe = 3</t>
  </si>
  <si>
    <t>Geschwungene Rampen müssen 1 m breiter sein für dieselbe Punkteanzahl. Gibt es Schrammborde?</t>
  </si>
  <si>
    <t>Bitte Breite auswählen. &lt; 3,00 m = 0; 3,00 - 3,30 m = 1; &gt; 3,30 m = 3; keine Rampe = 3</t>
  </si>
  <si>
    <t>Bitte Breite auswählen. &lt; 4,00 m = 0; 4,00 - 4,30 m = 1; &gt; 4,30 m; keine Rampe = 3</t>
  </si>
  <si>
    <t>Radius der Rampe (Außenradius) bei geschwungenen Rampen
• &lt; 9,00 m = 0; 9,00 - 10,00 m = 1; &gt; 10,00 m = 2; keine Rampe = 2
Bei Rampen mit Gegenverkehr gilt die innere Fahrspur</t>
  </si>
  <si>
    <t>Eingangskurve zu geraden Rampen
•  &lt; 7,50 m = 0; 7,50 – 9,00 m = 1; &gt; 9,00 m = 2; keine Rampe = 2</t>
  </si>
  <si>
    <t>Parkebene mit Gefälle (Längsneigung)
•  &lt; 5% = 3; 5% - 7% = 1; &gt; 7% = 0; kein Gefälle = 3</t>
  </si>
  <si>
    <t>Eingeschossige und ebenerdige Parkeinrichtung? (kein unüberdachter Parkplatz)</t>
  </si>
  <si>
    <t>Führen Aufzüge auf das Straßenniveau?</t>
  </si>
  <si>
    <t>Sind die Fahrstühle das primäre Etagenverbindung? (Treppen nur sekundär oder als Fluchtwege)</t>
  </si>
  <si>
    <t>Kopffreiheit für Fußgänger - außer unter Türen
• &lt; 2,00m = 0
• 2,00m - 2,10m = 1
• 2,10m - 2,20m = 2
• &gt; 2,20m = 3</t>
  </si>
  <si>
    <t>Separat ausgewiesene Fußgängerwege (z.B. erhöht, Zebrastreifen, farbige Kennzeichnung) (ja = 2; nein = 0)</t>
  </si>
  <si>
    <t>Sind die Zugangstüren einfach zu bedienen? 
(ja, automatisch oder offen = 4; einfach zu öffnen = 2; nein = 0)</t>
  </si>
  <si>
    <t>Größe der Aufzüge:
(Mehr als 8 Personen = 3; 4 - 8 Personen = 1; weniger als 4 = 0)</t>
  </si>
  <si>
    <t>Sichtverbindung zwischen dem Aufzug und Vorraum/Parkebene
(keine Sichtverbindung = 0; verglaste Türen / Wände = 3; kein Aufzug = 0)</t>
  </si>
  <si>
    <t>Bedienelemente im Aufzug barrierefrei?
(ja = 1; nein = 0)</t>
  </si>
  <si>
    <t>Verbindungstüren zum Parkbereich:</t>
  </si>
  <si>
    <t>Lichte Breite (&lt; 90 cm =0; &gt;= 90 cm = 2)</t>
  </si>
  <si>
    <t>Fluchttüren, generell offen (ja = 2; nein = 0)</t>
  </si>
  <si>
    <t>Sichtverbindung (Glastüren / -wände = 3; kein Glas = 0)</t>
  </si>
  <si>
    <t>Treppenhäuser (Sichtbarkeit und Orientierung)</t>
  </si>
  <si>
    <t>Einfach Auffindbarkeit (ja = 1; nein = 0; irrelvant = 1)</t>
  </si>
  <si>
    <t>Geschosskennzeichnung (ja = 1; nein = 0; unzutreffend = 1)</t>
  </si>
  <si>
    <t>Treppen (inkl. verbesserter Sichtbarkeit der Treppenstufen)</t>
  </si>
  <si>
    <t>Breite (&lt; 1,5 m = 0; &gt; 1,5 m = 2)</t>
  </si>
  <si>
    <t>Erhöhte Sichtbarkeit der Treppenstufen für Personen mit eingeschränkter Sehkraft (ja = 2; nein = 0)</t>
  </si>
  <si>
    <t>Rutschfeste Beschichtung/Oberfläche der Treppenstufen (ja = 2; nein = 0)</t>
  </si>
  <si>
    <t>Öffnungen in den Treppenhauswänden (Fenster / Gitter nach außen oder zu den Parkebenen = 2; nein = 0)</t>
  </si>
  <si>
    <t>Kontrollpersonal (vor Ort oder per Fernüberwachung)
ja = 5; nein = 0</t>
  </si>
  <si>
    <t>Kassenautomaten: ja = 1; nein = 0</t>
  </si>
  <si>
    <t>Aufzugsräume, jedes Ebene: ja = 1; nein = 0</t>
  </si>
  <si>
    <t>Treppenhäuser, jede Ebene: ja = 1; nein = 0</t>
  </si>
  <si>
    <t>Fußgängerzugang: ja = 1; nein = 0</t>
  </si>
  <si>
    <t>Kontaktaufnahme zu Personal via:</t>
  </si>
  <si>
    <t>Sprechstellen an den Kassenautomaten und/oder gesicherten Zugängen (24/7 = 3; zu den Öffnungszeiten (wenn nicht 24/7) = 2; teilweise/gar nicht = 0)</t>
  </si>
  <si>
    <t>Ausgewiesenes Parkhauspersonal ist präsent und patroulliert durch die Parkeinrichtung (24/7 = 3; zu den Öffnungszeiten (wenn nicht 24/7) = 2; teilweise = 1; gar nicht = 0)</t>
  </si>
  <si>
    <t>Verschließbare Ein-/Ausfahrten:
(geschlossene Tore/Rollgitter außerhalb der Öffnungszeiten = 2; Schnelllauftore während der Öffnungszeiten = 4; langsam öffnende/schließende Tore während der Öffnungszeiten = 2; keine Sicherung = 0)</t>
  </si>
  <si>
    <t>Verschließbare Fußgängerzu-/ausgänge (außerhalb der Öffnungszeiten): (Türen, Tore oder Rollgitter mit Öffnungen &lt;= 15cm = 2; &gt; 15cm = 0; keine Sicherung = 0; irrelevant (24 Std.-Betrieb) = 4)</t>
  </si>
  <si>
    <t>Vergitterung von Öffnungen nach außen und Sicherheitsgitter (&lt;= 15cm = 2; &gt; 15cm oder keine Vorkehrung = 0; irrelevant (keine Öffnungen nach außen) = 2)</t>
  </si>
  <si>
    <t>Wegweisung innerhalb/außerhalb der Parkeinrichtung</t>
  </si>
  <si>
    <t>etagenweise (ja/gut = 2; nein/schlecht = 0)</t>
  </si>
  <si>
    <t>gassenweise (ja/gut = 2; nein/schlecht = 0)</t>
  </si>
  <si>
    <t>Sind die Parkebenen für den Fahrer klar verständlich gekennzeichnet? (gut = 3; angemessen = 2; schlecht = 1; nein = 0)</t>
  </si>
  <si>
    <t>Gibt es auf (großen) Parkebenen durch Markierungen abgegrenzte Parkbereiche zur besseren Orientierung? Sind diese für den Fahrer klar verständlich?  (gut = 3; angemessen = 2; schlecht = 1; nein = 0)</t>
  </si>
  <si>
    <t>Sind die Notausgänge und Fluchtwege klar gekennzeichnet und sichtbar:
• von allen Punkten = 3
• an dem meisten Punkten = 2
• an einigen Punkten =1
• keine Anzeige =0)</t>
  </si>
  <si>
    <t>Sind die Ebenen deutlich gekennzeichnet? (gut = 3; angemessen = 2; schlecht = 1; nein = 0; nur eine Ebene: = 3)</t>
  </si>
  <si>
    <t>Gibt es zusätzliche Wegweiser für Fußgänger (gut = 2; teilweise = 1; keine = 0)</t>
  </si>
  <si>
    <t>Sind die Stellplätze einzeln nummeriert (nummeriert einschließlich Ebene = 2; nummeriert = 1; nein = 0)</t>
  </si>
  <si>
    <t>Verwendung von Farben zur besseren Orientierung (ja =1; nein = 0)</t>
  </si>
  <si>
    <t>(Städtisches) Parkleitsystem</t>
  </si>
  <si>
    <t>zusätzliches dynamisches Leitsystem (freie Plätze = 2; Frei / Besetzt = 1; nein = 0)</t>
  </si>
  <si>
    <t>Standort in Navigationssysteme integriert? (ja = 2; nein = 0)</t>
  </si>
  <si>
    <t>Beschilderung am Fußgängerzugang (ja = 1; nein = 0)</t>
  </si>
  <si>
    <t>Stadtplan an zentraler Stelle in der Parkeinrichtung:
(an jedem Ausgang = 2; an einer Stelle = 1; keiner = 0)</t>
  </si>
  <si>
    <t>zu wichtigen Sehenswürdigkeiten in der Nähe der Parkeinrichtung an den Ausgängen (ja = 1; nein = 0)</t>
  </si>
  <si>
    <t>zu den Fußgängerzugängen rund um die Parkeinrichtung (ja = 1; nein = 0)</t>
  </si>
  <si>
    <t>Hinweisbeschilderung an den Fußgängerzu-/ausgängen bzgl.:</t>
  </si>
  <si>
    <t>normale/besondere Öffnungszeitene (ja = 1; nein = 0)</t>
  </si>
  <si>
    <t>Nationale Bankkarten (ja = 1; nein = 0)</t>
  </si>
  <si>
    <t>andere Bezahlmöglichkeiten? Wie viele? (1 Punkt für jede zusätzliche Option, max. 3 Punkte)</t>
  </si>
  <si>
    <t>Kennzeichenerkennung verbunden mit einem Kunden-/Bankkonto oder einer App (ja = 1; nein = 0)</t>
  </si>
  <si>
    <t>RFID Einheit verbunden mit einem Kunden-/Bankkonto oder einer App (ja = 1; nein = 0)</t>
  </si>
  <si>
    <t>Akzeptanz eines nationalen allgemeinen Verkehrsdienstes (z.B. Mautsystem, Öffentlicher Verkehr) (ja = 1 ; nein = 0)</t>
  </si>
  <si>
    <t>Schrankenöffnung an der Einfahrt startet automatisch eine ticketlose Transaktion mit automatischer Bezahlung: Steuerung über App, angeschlossen an ein Bezahlmittel ja = 1, nein = 0; bei Einsatz einer Kennzeichenerkennung: 1 Punkt zusätzlich</t>
  </si>
  <si>
    <t>Anzahl der Bezahlmöglichkeiten in einer Parkeinrichtung mit Schrankenanlage (eine Bezahlmöglichkeit = 0; mehr als eine = 1; eine an jedem Zugang für Fußgänger außer Notausgänge = 2; mehr als einer an jedem Zugang für Fußgänger = 3)</t>
  </si>
  <si>
    <t>Anzahl der Bezahlmöglichkeien in einer Parkeinrichtung mit Parkscheinautomaten (1 = 0; &lt; 1 pro 50 Stellplätze = 2; &gt; 1 pro 50 Stellplätze = 3)</t>
  </si>
  <si>
    <t>Zusätzliche verschönernde Element:</t>
  </si>
  <si>
    <t>Hintergrundmusik (ja = 2; nein = 0)</t>
  </si>
  <si>
    <t>Differenzierung zur Orientierung (ja = 1; nein = 0)</t>
  </si>
  <si>
    <t>Mülleimer</t>
  </si>
  <si>
    <t>Mülleimer an den Fußgängerzugängen / Treppenhäusern (ja = 1; nein = 0)</t>
  </si>
  <si>
    <t>Mülleimer in den Parkbereichen (&gt; 1 pro 100 stellplätze): ja = 1; nein = 0</t>
  </si>
  <si>
    <t>Abholstation für lokale und Online-Einkäufe (ja = 1; nein = 0)</t>
  </si>
  <si>
    <t>Elektronische Vorschaltgeräte (d.h. Leistungsfaktorkorrekturfilter (PFC)) (ja = 1; nein = 0)</t>
  </si>
  <si>
    <t>Bewegungsgesteuerte Beleuchtung (ja = 2; nein = 0)</t>
  </si>
  <si>
    <t>Adaptionsstrecke an der Einfahrt (Tageslichtkorrektur) (ja = 2; nein = 0)</t>
  </si>
  <si>
    <t>Tageslichtabhängige Beleuchtungssteuerung (bspw. Dämmerungsschaltung) (ja = 2; nein = 0; irrelevant (unterirdisch) = 2)</t>
  </si>
  <si>
    <t>Spezielle Behandlung von Schmutzwasser (ja = 2; nein = 0)</t>
  </si>
  <si>
    <t>(Wieder-)Verwendung von Grau-/Regenwasser (ja = 2; nein = 0)</t>
  </si>
  <si>
    <t>Durchschnittliche Kapazität pro Ladepunkt: &lt;4kW = 0; 4 - 10kW = 1; 10 - 20kW = 2; &gt;20kW = 3. Schnell-Lader &gt;50kW = 1 Zusatzpunkt</t>
  </si>
  <si>
    <t xml:space="preserve">Gesamte Kapazität pro 100 Stellplätze: &lt;50kW = 0; 50 - 100kW = 1; 100 - 200kW = 2; &gt;200 kW = 3 </t>
  </si>
  <si>
    <t>Ladepunkte in der Nähe der Einfahrt für die schnelle Erreichbarkeit durch Einsatzfahrzeuge im Brandfall (ja = 1; nein = 0)</t>
  </si>
  <si>
    <t>Reservierung eines Ladepunkts über ein integriertes Buchungssystem möglich (ja = 1; nein = 0)</t>
  </si>
  <si>
    <t>Eigene Stellplätze für Car-Sharing Anbieter: &gt;10 Stellplätze = 3; 5 - 10 Stellplätze = 2; 1 - 5 Stellplätze = 1; keine = 0</t>
  </si>
  <si>
    <t>Fahrzeugreinigung/-aufbereitung: 1 Punkt</t>
  </si>
  <si>
    <t>Station für Bike-Sharing und / oder E-Scooter, getrennt vom Parkbereich: &gt;10 Einheiten = 2; 1 - 10 Einheiten = 1; keine = 0</t>
  </si>
  <si>
    <t>Lademöglichkeiten für leichte e-Fahrzeuge: &gt;10 = 2; 1 - 10 = 1; keine = 0</t>
  </si>
  <si>
    <t>Zugang zu Bike-Sharing Punkten führt durch die Parkebene und ist nicht separat vom Kfz-Bereich: 1 Punkt Abzug</t>
  </si>
  <si>
    <t>Neubau wurde unter Berücksichtigung von Nachhaltigkeitskonzepten (Recycling) errichtet (ja = 1; nein = 0)</t>
  </si>
  <si>
    <t>Andere Umweltinitiativen (ja = 2; nein = 0)</t>
  </si>
  <si>
    <t>Graffitis</t>
  </si>
  <si>
    <t>Treppenhäuser (ja = -2; nein = 0)</t>
  </si>
  <si>
    <t>Aufzüge (ja = -2; nein = 0)</t>
  </si>
  <si>
    <t>Toiletten (ja = -2; nein = 0)</t>
  </si>
  <si>
    <t>Parkbereich (ja = -2; nein = 0)</t>
  </si>
  <si>
    <t>Außenwände (ja = -2; nein = 0)</t>
  </si>
  <si>
    <t>Zugangs- und Zufahrtsbereiche (ja = -2; nein = 0)</t>
  </si>
  <si>
    <t>Bodenmarkierungen (ja = -2; nein = 0)</t>
  </si>
  <si>
    <t>Neigung zur Pfützenbildung (ja = -2; nein = 0)</t>
  </si>
  <si>
    <t>Unangenehmer Geruch</t>
  </si>
  <si>
    <t>Aufzüge (ja = 2; nein = 0)</t>
  </si>
  <si>
    <t>Mehr als 15% der Stellplätze in Sackgassen ohne Belegungsanzeige (ja = -5; nein = 0)</t>
  </si>
  <si>
    <t>Strafabzug für Mindestanforderung (1.4 kommt zur Anwendung)</t>
  </si>
  <si>
    <t>zusätzliche Einrichtungen in der Parkeinrichtung</t>
  </si>
  <si>
    <t>Separater Motorradbereich (ja = 1; nein = 0)</t>
  </si>
  <si>
    <t>Schließfächer für Kunden (ja = 1; nein = 0)</t>
  </si>
  <si>
    <t>Fahradverleih (ja = 1; nein = 0)</t>
  </si>
  <si>
    <t>sonstige Fahrerunterstützung (ja = 1; nein = 0)</t>
  </si>
  <si>
    <t>Datenaustausch via APDS Standard (ja = 1; nein = 0)</t>
  </si>
  <si>
    <t>(besetzter) Kundenschalter (ja = 1; nein = 0)</t>
  </si>
  <si>
    <t>Schrankenloses Parken mit Kennzeichenerkennung (Free Flow): 1 Zusatzpunkt</t>
  </si>
  <si>
    <t>Park &amp; Ride / öffentlicher Verkehrsknotenpunkt beim Fußgängerausgang: ja = 1; nein = 0; Anzeige der aktuellen Abfahrtszeiten: 1 Zusatzpunkt</t>
  </si>
  <si>
    <t>Unterstützung von autonomen Fahrzeugen (AVP) in eigenen Bereichen der Parkeinrichtung: ja = 5; nein = 0</t>
  </si>
  <si>
    <t>Sonstige positive Punke: z.B. besonderer Service, freundliche Mitarbeiter, Fliesen an den Wänden / Böden; gutes Einfügen der Parkeinrichtung in das Stadtbild: bis zu 10 Punkte extra (bitte ausführen)</t>
  </si>
  <si>
    <t>Wurde ein Lebenszyklus für das Gebäude erstellt und veröffentlicht? (ja = 1; nein = 0)</t>
  </si>
  <si>
    <t>Gibt es einen Nachhaltigkeitsplan (inkl. Recycling nach Nutzungsende)? (ja = 1; nein = 0)</t>
  </si>
  <si>
    <t>Wird der tägliche, monatliche und jährliche Energiebedarf im Fußgängerbereich angezeigt? (ja = 1; nein = 0)</t>
  </si>
  <si>
    <t>Mindestdurchfahrtshöhe = 2,00 m  im öffentlich zugänglichen Bereich. Einzelne niedrigere Stellen müssen deutlich gekennzeichnet sein.</t>
  </si>
  <si>
    <t>70% der Stellplätze müssen mindestens 2,40m breit sein</t>
  </si>
  <si>
    <t>Oznakowanie (wewnętrzne i zewnętrzne)</t>
  </si>
  <si>
    <t>Name der Parkeinrichtung</t>
  </si>
  <si>
    <t>E-Mail</t>
  </si>
  <si>
    <t>Bitte geben Sie Ihr Passwort ein, um das ESPA Arbeitsblatt zu öffnen.</t>
  </si>
  <si>
    <t>Hierdurch werden 15 Seiten auf Ihrem aktiven Drucker ausgedruckt. Sind Sie sicher?</t>
  </si>
  <si>
    <t>Unzutreffend</t>
  </si>
  <si>
    <t>0% - 2%</t>
  </si>
  <si>
    <t>2% - 5%</t>
  </si>
  <si>
    <t>rutschig, wenn nass</t>
  </si>
  <si>
    <t>Stütze am Anfang des Stellplatzes</t>
  </si>
  <si>
    <t>Stütze am Stellplatzende, aber beeinträchtigt den Stellplatz</t>
  </si>
  <si>
    <t>Gute Qualität</t>
  </si>
  <si>
    <t>Standardqualität</t>
  </si>
  <si>
    <t>Entspricht der Tabelle.</t>
  </si>
  <si>
    <t>keine Schrammborde</t>
  </si>
  <si>
    <t>kleiner als 10%</t>
  </si>
  <si>
    <t>10% - 15%</t>
  </si>
  <si>
    <t>größer als 15%</t>
  </si>
  <si>
    <t>Gesamte Öffnungszeit, wenn nicht 24*7</t>
  </si>
  <si>
    <t>Größte Öffnung in Tür/Tor/Rollgitter &lt;= 15 cm</t>
  </si>
  <si>
    <t>Verfügbare Plätze</t>
  </si>
  <si>
    <t>Frei / Besetzt</t>
  </si>
  <si>
    <t xml:space="preserve">Nein </t>
  </si>
  <si>
    <t>An jedem Fußgängerzugang</t>
  </si>
  <si>
    <t>Eine Stelle</t>
  </si>
  <si>
    <t>Kennzeichenerkennung verknüpft mit einem Zahlungsmittel</t>
  </si>
  <si>
    <t>Eine Bezahlstation</t>
  </si>
  <si>
    <t>Irrelevant (Unterirdisch)</t>
  </si>
  <si>
    <t>Zwischen 5% und 10%</t>
  </si>
  <si>
    <t>Zwischen 2% und 5%</t>
  </si>
  <si>
    <t>Weniger als 4kW</t>
  </si>
  <si>
    <t>Zwischen 4kW und 10kW</t>
  </si>
  <si>
    <t>Zwischen10kW und 20kW</t>
  </si>
  <si>
    <t>Mehr als 20kW</t>
  </si>
  <si>
    <t>Mehr als 50kW</t>
  </si>
  <si>
    <t>Weniger als 50kW</t>
  </si>
  <si>
    <t>Zwischen 50kW und 100kW</t>
  </si>
  <si>
    <t>Zwischen 100kW und 200kW</t>
  </si>
  <si>
    <t>Mehr als 200kW</t>
  </si>
  <si>
    <t>Mehr als 10 Plätze</t>
  </si>
  <si>
    <t>Von 5 bis 10 Plätze</t>
  </si>
  <si>
    <t>Von 1 bis 5 Plätze</t>
  </si>
  <si>
    <t>Mehr als 10 Einheiten</t>
  </si>
  <si>
    <t>Von 1 bis 10 Einheiten</t>
  </si>
  <si>
    <t>Abfahrtszeiten werden angezeigt</t>
  </si>
  <si>
    <t>Verschiedene Kritikpunte (bitte erläutern!)
[z.B. unerwünschter Lärm, quietschende Reifen, unerwünschte Personen, etc] bis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</si>
</sst>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quot;Minimum : &quot;\ 0"/>
    <numFmt numFmtId="166" formatCode="0.00\ &quot;m&quot;"/>
    <numFmt numFmtId="167" formatCode="0\ &quot;Lux&quot;"/>
    <numFmt numFmtId="168" formatCode="0.0\ &quot;m&quot;"/>
    <numFmt numFmtId="169" formatCode="[Red]\ &quot;Incompleted&quot;;;[Green]\ &quot;Completed&quot;"/>
    <numFmt numFmtId="170" formatCode="0.0%"/>
    <numFmt numFmtId="171" formatCode="0.000"/>
    <numFmt numFmtId="172" formatCode="0;;"/>
    <numFmt numFmtId="173" formatCode="0\ &quot;Lux&quot;;;0"/>
    <numFmt numFmtId="174" formatCode="0\ &quot;Lux&quot;;;"/>
    <numFmt numFmtId="175" formatCode="0.0000"/>
    <numFmt numFmtId="176" formatCode="0.000000000"/>
  </numFmts>
  <fonts count="59" x14ac:knownFonts="1">
    <font>
      <sz val="11"/>
      <color rgb="FF000000"/>
      <name val="Calibri"/>
      <family val="2"/>
      <charset val="204"/>
    </font>
    <font>
      <b/>
      <sz val="11"/>
      <color rgb="FF000000"/>
      <name val="Arial"/>
      <family val="2"/>
    </font>
    <font>
      <sz val="11"/>
      <color rgb="FF000000"/>
      <name val="Arial"/>
      <family val="2"/>
    </font>
    <font>
      <sz val="9"/>
      <color rgb="FF000000"/>
      <name val="Arial"/>
      <family val="2"/>
    </font>
    <font>
      <sz val="10"/>
      <color rgb="FF000000"/>
      <name val="Arial"/>
      <family val="2"/>
    </font>
    <font>
      <sz val="10"/>
      <color rgb="FF000000"/>
      <name val="Times New Roman"/>
      <family val="1"/>
    </font>
    <font>
      <b/>
      <i/>
      <sz val="11"/>
      <color rgb="FF000000"/>
      <name val="Arial"/>
      <family val="2"/>
    </font>
    <font>
      <i/>
      <sz val="11"/>
      <color rgb="FF000000"/>
      <name val="Arial"/>
      <family val="2"/>
    </font>
    <font>
      <sz val="6"/>
      <color rgb="FF000000"/>
      <name val="Arial"/>
      <family val="2"/>
    </font>
    <font>
      <b/>
      <sz val="10"/>
      <color rgb="FF000000"/>
      <name val="Arial"/>
      <family val="2"/>
    </font>
    <font>
      <u/>
      <sz val="11"/>
      <color theme="10"/>
      <name val="Calibri"/>
      <family val="2"/>
      <charset val="204"/>
    </font>
    <font>
      <u/>
      <sz val="11"/>
      <color theme="11"/>
      <name val="Calibri"/>
      <family val="2"/>
      <charset val="204"/>
    </font>
    <font>
      <sz val="12"/>
      <color rgb="FF000000"/>
      <name val="Arial"/>
      <family val="2"/>
    </font>
    <font>
      <b/>
      <sz val="18"/>
      <color rgb="FF000000"/>
      <name val="Arial"/>
      <family val="2"/>
    </font>
    <font>
      <b/>
      <sz val="16"/>
      <color rgb="FF000000"/>
      <name val="Arial"/>
      <family val="2"/>
    </font>
    <font>
      <sz val="11"/>
      <color rgb="FF000000"/>
      <name val="Calibri"/>
      <family val="2"/>
      <charset val="204"/>
    </font>
    <font>
      <sz val="8"/>
      <color rgb="FF000000"/>
      <name val="Arial"/>
      <family val="2"/>
    </font>
    <font>
      <sz val="16"/>
      <color rgb="FF000000"/>
      <name val="Arial"/>
      <family val="2"/>
    </font>
    <font>
      <b/>
      <sz val="18"/>
      <color rgb="FF008000"/>
      <name val="Arial"/>
      <family val="2"/>
    </font>
    <font>
      <b/>
      <sz val="12"/>
      <color rgb="FF000000"/>
      <name val="Arial"/>
      <family val="2"/>
    </font>
    <font>
      <sz val="20"/>
      <color rgb="FF000000"/>
      <name val="Arial"/>
      <family val="2"/>
    </font>
    <font>
      <sz val="12"/>
      <color rgb="FF9C0006"/>
      <name val="Calibri"/>
      <family val="2"/>
      <scheme val="minor"/>
    </font>
    <font>
      <sz val="12"/>
      <name val="Arial"/>
      <family val="2"/>
    </font>
    <font>
      <b/>
      <sz val="12"/>
      <name val="Arial"/>
      <family val="2"/>
    </font>
    <font>
      <sz val="8"/>
      <name val="Calibri"/>
      <family val="2"/>
      <charset val="204"/>
    </font>
    <font>
      <sz val="18"/>
      <color rgb="FF000000"/>
      <name val="Arial"/>
      <family val="2"/>
    </font>
    <font>
      <b/>
      <sz val="20"/>
      <color rgb="FF000000"/>
      <name val="Calibri"/>
      <family val="2"/>
    </font>
    <font>
      <sz val="20"/>
      <color rgb="FF9C0006"/>
      <name val="Calibri"/>
      <family val="2"/>
      <scheme val="minor"/>
    </font>
    <font>
      <sz val="16"/>
      <color rgb="FF000000"/>
      <name val="Calibri"/>
      <family val="2"/>
    </font>
    <font>
      <sz val="11"/>
      <color theme="0"/>
      <name val="Calibri"/>
      <family val="2"/>
    </font>
    <font>
      <b/>
      <sz val="18"/>
      <color indexed="9"/>
      <name val="Arial"/>
      <family val="2"/>
    </font>
    <font>
      <b/>
      <sz val="36"/>
      <color rgb="FF000000"/>
      <name val="Arial"/>
      <family val="2"/>
    </font>
    <font>
      <sz val="48"/>
      <color rgb="FF000000"/>
      <name val="Calibri"/>
      <family val="2"/>
    </font>
    <font>
      <b/>
      <sz val="11"/>
      <color rgb="FF000000"/>
      <name val="Calibri"/>
      <family val="2"/>
    </font>
    <font>
      <sz val="16"/>
      <color rgb="FF000000"/>
      <name val="Calibri"/>
      <family val="2"/>
      <scheme val="minor"/>
    </font>
    <font>
      <sz val="10"/>
      <color rgb="FF000000"/>
      <name val="Calibri"/>
      <family val="2"/>
      <scheme val="minor"/>
    </font>
    <font>
      <sz val="12"/>
      <color rgb="FF000000"/>
      <name val="Arial"/>
      <family val="2"/>
    </font>
    <font>
      <sz val="11"/>
      <name val="Calibri"/>
      <family val="2"/>
      <charset val="204"/>
    </font>
    <font>
      <sz val="11"/>
      <color rgb="FFFF0000"/>
      <name val="Calibri"/>
      <family val="2"/>
    </font>
    <font>
      <sz val="12"/>
      <color rgb="FF000000"/>
      <name val="Calibri"/>
      <family val="2"/>
      <charset val="204"/>
    </font>
    <font>
      <sz val="11"/>
      <color indexed="8"/>
      <name val="Calibri"/>
      <family val="2"/>
    </font>
    <font>
      <sz val="11"/>
      <color indexed="10"/>
      <name val="Calibri"/>
      <family val="2"/>
    </font>
    <font>
      <sz val="6"/>
      <color indexed="8"/>
      <name val="Arial"/>
      <family val="2"/>
    </font>
    <font>
      <sz val="10"/>
      <color indexed="8"/>
      <name val="Arial"/>
      <family val="2"/>
    </font>
    <font>
      <b/>
      <sz val="10"/>
      <color indexed="8"/>
      <name val="Arial"/>
      <family val="2"/>
    </font>
    <font>
      <sz val="10"/>
      <name val="Arial"/>
      <family val="2"/>
    </font>
    <font>
      <sz val="11"/>
      <color indexed="8"/>
      <name val="Arial"/>
      <family val="2"/>
    </font>
    <font>
      <sz val="10"/>
      <color indexed="10"/>
      <name val="Arial"/>
      <family val="2"/>
    </font>
    <font>
      <sz val="12"/>
      <name val="Calibri"/>
      <family val="2"/>
    </font>
    <font>
      <sz val="48"/>
      <name val="Calibri"/>
      <family val="2"/>
    </font>
    <font>
      <b/>
      <sz val="16"/>
      <color rgb="FF000000"/>
      <name val="Calibri"/>
      <family val="2"/>
    </font>
    <font>
      <b/>
      <sz val="8"/>
      <color rgb="FFFFFFFF"/>
      <name val="Poppins"/>
    </font>
    <font>
      <sz val="8"/>
      <color rgb="FF000000"/>
      <name val="Poppins"/>
    </font>
    <font>
      <b/>
      <sz val="20"/>
      <color rgb="FF000000"/>
      <name val="Arial"/>
      <family val="2"/>
    </font>
    <font>
      <sz val="10"/>
      <color rgb="FF9C0006"/>
      <name val="Calibri"/>
      <family val="2"/>
      <scheme val="minor"/>
    </font>
    <font>
      <b/>
      <sz val="10"/>
      <color rgb="FF000000"/>
      <name val="Calibri"/>
      <family val="2"/>
      <scheme val="minor"/>
    </font>
    <font>
      <sz val="8"/>
      <color rgb="FF000000"/>
      <name val="Calibri"/>
      <family val="2"/>
    </font>
    <font>
      <sz val="12"/>
      <name val="Calibri"/>
      <family val="2"/>
      <charset val="238"/>
    </font>
    <font>
      <sz val="11"/>
      <name val="Calibri"/>
      <family val="2"/>
      <charset val="238"/>
    </font>
  </fonts>
  <fills count="19">
    <fill>
      <patternFill patternType="none"/>
    </fill>
    <fill>
      <patternFill patternType="gray125"/>
    </fill>
    <fill>
      <patternFill patternType="solid">
        <fgColor rgb="FFC0C0C0"/>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C4"/>
        <bgColor indexed="64"/>
      </patternFill>
    </fill>
    <fill>
      <patternFill patternType="solid">
        <fgColor rgb="FFFFC7CE"/>
      </patternFill>
    </fill>
    <fill>
      <patternFill patternType="solid">
        <fgColor theme="7" tint="0.79998168889431442"/>
        <bgColor indexed="64"/>
      </patternFill>
    </fill>
    <fill>
      <patternFill patternType="solid">
        <fgColor theme="0" tint="-0.249977111117893"/>
        <bgColor indexed="9"/>
      </patternFill>
    </fill>
    <fill>
      <patternFill patternType="solid">
        <fgColor rgb="FFFFFF00"/>
        <bgColor indexed="64"/>
      </patternFill>
    </fill>
    <fill>
      <patternFill patternType="solid">
        <fgColor theme="6" tint="0.79998168889431442"/>
        <bgColor indexed="64"/>
      </patternFill>
    </fill>
    <fill>
      <patternFill patternType="solid">
        <fgColor indexed="13"/>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3"/>
        <bgColor indexed="64"/>
      </patternFill>
    </fill>
    <fill>
      <patternFill patternType="solid">
        <fgColor rgb="FFF2FDC1"/>
        <bgColor indexed="64"/>
      </patternFill>
    </fill>
    <fill>
      <patternFill patternType="solid">
        <fgColor rgb="FFFDE555"/>
        <bgColor indexed="64"/>
      </patternFill>
    </fill>
    <fill>
      <patternFill patternType="solid">
        <fgColor theme="9" tint="0.59999389629810485"/>
        <bgColor indexed="64"/>
      </patternFill>
    </fill>
  </fills>
  <borders count="1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thin">
        <color rgb="FF000000"/>
      </top>
      <bottom/>
      <diagonal/>
    </border>
    <border>
      <left style="thin">
        <color rgb="FF000000"/>
      </left>
      <right style="thin">
        <color rgb="FF000000"/>
      </right>
      <top/>
      <bottom style="hair">
        <color rgb="FF000000"/>
      </bottom>
      <diagonal/>
    </border>
    <border>
      <left style="thin">
        <color auto="1"/>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rgb="FF000000"/>
      </left>
      <right style="thin">
        <color auto="1"/>
      </right>
      <top style="hair">
        <color auto="1"/>
      </top>
      <bottom style="hair">
        <color auto="1"/>
      </bottom>
      <diagonal/>
    </border>
    <border>
      <left style="thin">
        <color auto="1"/>
      </left>
      <right/>
      <top style="hair">
        <color auto="1"/>
      </top>
      <bottom/>
      <diagonal/>
    </border>
    <border>
      <left style="thin">
        <color rgb="FF000000"/>
      </left>
      <right style="thin">
        <color auto="1"/>
      </right>
      <top style="hair">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hair">
        <color rgb="FF000000"/>
      </top>
      <bottom style="hair">
        <color rgb="FF000000"/>
      </bottom>
      <diagonal/>
    </border>
    <border>
      <left style="thin">
        <color auto="1"/>
      </left>
      <right style="thin">
        <color auto="1"/>
      </right>
      <top style="hair">
        <color rgb="FF000000"/>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style="thin">
        <color auto="1"/>
      </left>
      <right style="thin">
        <color rgb="FF000000"/>
      </right>
      <top/>
      <bottom style="thin">
        <color auto="1"/>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auto="1"/>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auto="1"/>
      </right>
      <top/>
      <bottom style="thin">
        <color rgb="FF000000"/>
      </bottom>
      <diagonal/>
    </border>
    <border>
      <left/>
      <right style="thin">
        <color auto="1"/>
      </right>
      <top/>
      <bottom style="thin">
        <color rgb="FF000000"/>
      </bottom>
      <diagonal/>
    </border>
    <border>
      <left style="thin">
        <color auto="1"/>
      </left>
      <right style="thin">
        <color rgb="FF000000"/>
      </right>
      <top/>
      <bottom style="thin">
        <color rgb="FF000000"/>
      </bottom>
      <diagonal/>
    </border>
    <border>
      <left style="thin">
        <color rgb="FF000000"/>
      </left>
      <right style="thin">
        <color auto="1"/>
      </right>
      <top style="thin">
        <color auto="1"/>
      </top>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rgb="FF000000"/>
      </top>
      <bottom style="thin">
        <color rgb="FF000000"/>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auto="1"/>
      </left>
      <right style="thin">
        <color rgb="FF000000"/>
      </right>
      <top style="thin">
        <color auto="1"/>
      </top>
      <bottom/>
      <diagonal/>
    </border>
    <border>
      <left style="thin">
        <color rgb="FF000000"/>
      </left>
      <right style="thin">
        <color rgb="FF000000"/>
      </right>
      <top style="thin">
        <color auto="1"/>
      </top>
      <bottom style="thin">
        <color auto="1"/>
      </bottom>
      <diagonal/>
    </border>
    <border>
      <left/>
      <right style="thin">
        <color rgb="FF000000"/>
      </right>
      <top style="thin">
        <color rgb="FF000000"/>
      </top>
      <bottom style="thin">
        <color rgb="FF00000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thin">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medium">
        <color auto="1"/>
      </left>
      <right style="medium">
        <color auto="1"/>
      </right>
      <top style="medium">
        <color auto="1"/>
      </top>
      <bottom style="medium">
        <color auto="1"/>
      </bottom>
      <diagonal/>
    </border>
    <border>
      <left style="thin">
        <color rgb="FF000000"/>
      </left>
      <right/>
      <top style="thin">
        <color auto="1"/>
      </top>
      <bottom style="thin">
        <color auto="1"/>
      </bottom>
      <diagonal/>
    </border>
    <border>
      <left style="thin">
        <color auto="1"/>
      </left>
      <right style="thin">
        <color auto="1"/>
      </right>
      <top style="thin">
        <color rgb="FF000000"/>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hair">
        <color rgb="FF000000"/>
      </top>
      <bottom style="thin">
        <color rgb="FF000000"/>
      </bottom>
      <diagonal/>
    </border>
    <border>
      <left/>
      <right/>
      <top style="thin">
        <color rgb="FF000000"/>
      </top>
      <bottom style="thin">
        <color auto="1"/>
      </bottom>
      <diagonal/>
    </border>
    <border>
      <left style="thin">
        <color rgb="FF000000"/>
      </left>
      <right style="thin">
        <color rgb="FF000000"/>
      </right>
      <top style="hair">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rgb="FF000000"/>
      </right>
      <top style="thin">
        <color auto="1"/>
      </top>
      <bottom style="hair">
        <color auto="1"/>
      </bottom>
      <diagonal/>
    </border>
    <border>
      <left style="thin">
        <color auto="1"/>
      </left>
      <right/>
      <top style="thin">
        <color auto="1"/>
      </top>
      <bottom style="hair">
        <color rgb="FF000000"/>
      </bottom>
      <diagonal/>
    </border>
    <border>
      <left/>
      <right/>
      <top style="thin">
        <color auto="1"/>
      </top>
      <bottom style="hair">
        <color rgb="FF000000"/>
      </bottom>
      <diagonal/>
    </border>
    <border>
      <left/>
      <right style="thin">
        <color rgb="FF000000"/>
      </right>
      <top style="thin">
        <color auto="1"/>
      </top>
      <bottom style="hair">
        <color rgb="FF000000"/>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rgb="FF000000"/>
      </bottom>
      <diagonal/>
    </border>
    <border>
      <left style="thin">
        <color rgb="FF000000"/>
      </left>
      <right/>
      <top style="thin">
        <color indexed="64"/>
      </top>
      <bottom style="hair">
        <color rgb="FF000000"/>
      </bottom>
      <diagonal/>
    </border>
    <border>
      <left style="thin">
        <color rgb="FF000000"/>
      </left>
      <right style="thin">
        <color rgb="FF000000"/>
      </right>
      <top style="hair">
        <color rgb="FF000000"/>
      </top>
      <bottom style="thin">
        <color indexed="64"/>
      </bottom>
      <diagonal/>
    </border>
    <border>
      <left/>
      <right/>
      <top/>
      <bottom style="hair">
        <color rgb="FF000000"/>
      </bottom>
      <diagonal/>
    </border>
    <border>
      <left/>
      <right style="thin">
        <color rgb="FF000000"/>
      </right>
      <top style="thin">
        <color indexed="64"/>
      </top>
      <bottom style="thin">
        <color indexed="64"/>
      </bottom>
      <diagonal/>
    </border>
    <border>
      <left/>
      <right style="thin">
        <color rgb="FF000000"/>
      </right>
      <top style="thin">
        <color auto="1"/>
      </top>
      <bottom/>
      <diagonal/>
    </border>
    <border>
      <left style="thin">
        <color rgb="FF000000"/>
      </left>
      <right/>
      <top style="thin">
        <color indexed="64"/>
      </top>
      <bottom/>
      <diagonal/>
    </border>
    <border>
      <left/>
      <right style="thin">
        <color indexed="64"/>
      </right>
      <top style="thin">
        <color indexed="64"/>
      </top>
      <bottom style="hair">
        <color rgb="FF000000"/>
      </bottom>
      <diagonal/>
    </border>
    <border>
      <left style="thin">
        <color indexed="64"/>
      </left>
      <right style="thin">
        <color rgb="FF000000"/>
      </right>
      <top style="hair">
        <color rgb="FF000000"/>
      </top>
      <bottom style="hair">
        <color rgb="FF000000"/>
      </bottom>
      <diagonal/>
    </border>
    <border>
      <left style="thin">
        <color rgb="FF000000"/>
      </left>
      <right style="thin">
        <color indexed="64"/>
      </right>
      <top style="hair">
        <color rgb="FF000000"/>
      </top>
      <bottom style="hair">
        <color rgb="FF000000"/>
      </bottom>
      <diagonal/>
    </border>
    <border>
      <left style="thin">
        <color indexed="64"/>
      </left>
      <right style="thin">
        <color rgb="FF000000"/>
      </right>
      <top style="hair">
        <color rgb="FF000000"/>
      </top>
      <bottom style="thin">
        <color indexed="64"/>
      </bottom>
      <diagonal/>
    </border>
    <border>
      <left style="thin">
        <color rgb="FF000000"/>
      </left>
      <right style="thin">
        <color indexed="64"/>
      </right>
      <top style="hair">
        <color rgb="FF000000"/>
      </top>
      <bottom style="thin">
        <color indexed="64"/>
      </bottom>
      <diagonal/>
    </border>
    <border>
      <left style="thin">
        <color rgb="FF000000"/>
      </left>
      <right/>
      <top/>
      <bottom style="thin">
        <color auto="1"/>
      </bottom>
      <diagonal/>
    </border>
    <border>
      <left style="thin">
        <color rgb="FF000000"/>
      </left>
      <right style="thin">
        <color rgb="FF000000"/>
      </right>
      <top style="thin">
        <color rgb="FF000000"/>
      </top>
      <bottom style="thin">
        <color indexed="64"/>
      </bottom>
      <diagonal/>
    </border>
    <border>
      <left style="thin">
        <color auto="1"/>
      </left>
      <right/>
      <top/>
      <bottom style="hair">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rgb="FF000000"/>
      </left>
      <right/>
      <top/>
      <bottom style="thin">
        <color rgb="FF000000"/>
      </bottom>
      <diagonal/>
    </border>
    <border>
      <left style="thin">
        <color auto="1"/>
      </left>
      <right style="thin">
        <color auto="1"/>
      </right>
      <top style="hair">
        <color auto="1"/>
      </top>
      <bottom style="thin">
        <color indexed="64"/>
      </bottom>
      <diagonal/>
    </border>
    <border>
      <left style="thin">
        <color rgb="FF000000"/>
      </left>
      <right style="thin">
        <color auto="1"/>
      </right>
      <top style="hair">
        <color auto="1"/>
      </top>
      <bottom style="thin">
        <color indexed="64"/>
      </bottom>
      <diagonal/>
    </border>
    <border>
      <left style="thin">
        <color auto="1"/>
      </left>
      <right style="thin">
        <color auto="1"/>
      </right>
      <top style="hair">
        <color auto="1"/>
      </top>
      <bottom/>
      <diagonal/>
    </border>
    <border>
      <left/>
      <right/>
      <top style="hair">
        <color auto="1"/>
      </top>
      <bottom style="hair">
        <color auto="1"/>
      </bottom>
      <diagonal/>
    </border>
    <border>
      <left style="thin">
        <color rgb="FF000000"/>
      </left>
      <right/>
      <top style="hair">
        <color auto="1"/>
      </top>
      <bottom style="hair">
        <color auto="1"/>
      </bottom>
      <diagonal/>
    </border>
    <border>
      <left/>
      <right/>
      <top style="hair">
        <color auto="1"/>
      </top>
      <bottom style="thin">
        <color auto="1"/>
      </bottom>
      <diagonal/>
    </border>
    <border>
      <left style="thin">
        <color rgb="FF000000"/>
      </left>
      <right/>
      <top style="hair">
        <color auto="1"/>
      </top>
      <bottom style="thin">
        <color auto="1"/>
      </bottom>
      <diagonal/>
    </border>
    <border>
      <left style="thin">
        <color auto="1"/>
      </left>
      <right style="thin">
        <color rgb="FF000000"/>
      </right>
      <top style="hair">
        <color rgb="FF000000"/>
      </top>
      <bottom/>
      <diagonal/>
    </border>
    <border>
      <left style="thin">
        <color rgb="FF000000"/>
      </left>
      <right style="thin">
        <color auto="1"/>
      </right>
      <top style="hair">
        <color auto="1"/>
      </top>
      <bottom/>
      <diagonal/>
    </border>
    <border>
      <left/>
      <right style="thin">
        <color rgb="FF000000"/>
      </right>
      <top/>
      <bottom style="thin">
        <color rgb="FF000000"/>
      </bottom>
      <diagonal/>
    </border>
    <border>
      <left style="thin">
        <color auto="1"/>
      </left>
      <right style="thin">
        <color rgb="FF000000"/>
      </right>
      <top style="hair">
        <color auto="1"/>
      </top>
      <bottom/>
      <diagonal/>
    </border>
    <border>
      <left style="thin">
        <color rgb="FF000000"/>
      </left>
      <right/>
      <top style="thin">
        <color rgb="FF000000"/>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rgb="FF000000"/>
      </right>
      <top style="thin">
        <color rgb="FF000000"/>
      </top>
      <bottom style="thin">
        <color indexed="64"/>
      </bottom>
      <diagonal/>
    </border>
    <border>
      <left style="thin">
        <color auto="1"/>
      </left>
      <right/>
      <top style="thin">
        <color rgb="FF000000"/>
      </top>
      <bottom style="hair">
        <color rgb="FF000000"/>
      </bottom>
      <diagonal/>
    </border>
    <border>
      <left style="thin">
        <color auto="1"/>
      </left>
      <right/>
      <top/>
      <bottom style="hair">
        <color rgb="FF000000"/>
      </bottom>
      <diagonal/>
    </border>
    <border>
      <left/>
      <right style="thin">
        <color rgb="FF000000"/>
      </right>
      <top/>
      <bottom style="hair">
        <color rgb="FF000000"/>
      </bottom>
      <diagonal/>
    </border>
    <border>
      <left/>
      <right style="thin">
        <color auto="1"/>
      </right>
      <top style="thin">
        <color rgb="FF000000"/>
      </top>
      <bottom/>
      <diagonal/>
    </border>
    <border>
      <left/>
      <right style="thin">
        <color auto="1"/>
      </right>
      <top style="thin">
        <color rgb="FF000000"/>
      </top>
      <bottom style="hair">
        <color rgb="FF000000"/>
      </bottom>
      <diagonal/>
    </border>
    <border>
      <left style="thin">
        <color auto="1"/>
      </left>
      <right/>
      <top style="thin">
        <color rgb="FF000000"/>
      </top>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right style="thin">
        <color auto="1"/>
      </right>
      <top style="hair">
        <color rgb="FF000000"/>
      </top>
      <bottom style="hair">
        <color rgb="FF000000"/>
      </bottom>
      <diagonal/>
    </border>
    <border>
      <left style="thin">
        <color auto="1"/>
      </left>
      <right/>
      <top style="hair">
        <color auto="1"/>
      </top>
      <bottom style="hair">
        <color auto="1"/>
      </bottom>
      <diagonal/>
    </border>
    <border>
      <left style="thin">
        <color rgb="FF000000"/>
      </left>
      <right/>
      <top style="hair">
        <color rgb="FF000000"/>
      </top>
      <bottom/>
      <diagonal/>
    </border>
    <border>
      <left/>
      <right style="thin">
        <color auto="1"/>
      </right>
      <top style="hair">
        <color rgb="FF000000"/>
      </top>
      <bottom/>
      <diagonal/>
    </border>
    <border>
      <left style="thin">
        <color indexed="64"/>
      </left>
      <right/>
      <top style="hair">
        <color auto="1"/>
      </top>
      <bottom style="thin">
        <color indexed="64"/>
      </bottom>
      <diagonal/>
    </border>
    <border>
      <left style="thin">
        <color rgb="FF000000"/>
      </left>
      <right/>
      <top style="hair">
        <color rgb="FF000000"/>
      </top>
      <bottom style="thin">
        <color indexed="64"/>
      </bottom>
      <diagonal/>
    </border>
    <border>
      <left/>
      <right style="thin">
        <color auto="1"/>
      </right>
      <top style="hair">
        <color rgb="FF000000"/>
      </top>
      <bottom style="thin">
        <color indexed="64"/>
      </bottom>
      <diagonal/>
    </border>
    <border>
      <left style="medium">
        <color indexed="64"/>
      </left>
      <right style="medium">
        <color indexed="64"/>
      </right>
      <top/>
      <bottom/>
      <diagonal/>
    </border>
  </borders>
  <cellStyleXfs count="189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9" fontId="15"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21" fillId="7"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914">
    <xf numFmtId="0" fontId="0" fillId="0" borderId="0" xfId="0"/>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xf>
    <xf numFmtId="0" fontId="0" fillId="0" borderId="0" xfId="0" applyAlignment="1">
      <alignment vertical="center"/>
    </xf>
    <xf numFmtId="0" fontId="2" fillId="0" borderId="0" xfId="0" applyFont="1"/>
    <xf numFmtId="0" fontId="2" fillId="2" borderId="1" xfId="0" applyFont="1" applyFill="1" applyBorder="1" applyAlignment="1">
      <alignment horizontal="center" vertical="center" wrapText="1"/>
    </xf>
    <xf numFmtId="1" fontId="1" fillId="0" borderId="1" xfId="0" applyNumberFormat="1" applyFont="1" applyBorder="1" applyAlignment="1">
      <alignment horizontal="center" vertical="center" wrapText="1"/>
    </xf>
    <xf numFmtId="0" fontId="0" fillId="0" borderId="0" xfId="0" applyAlignment="1">
      <alignment horizontal="right"/>
    </xf>
    <xf numFmtId="0" fontId="4" fillId="6"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4" fillId="6" borderId="4" xfId="0" applyFont="1" applyFill="1" applyBorder="1" applyAlignment="1">
      <alignment horizontal="center" vertical="center" wrapText="1"/>
    </xf>
    <xf numFmtId="0" fontId="2" fillId="0" borderId="0" xfId="0" applyFont="1" applyAlignment="1">
      <alignment vertical="center"/>
    </xf>
    <xf numFmtId="164" fontId="1" fillId="0" borderId="1" xfId="0" applyNumberFormat="1" applyFont="1" applyBorder="1" applyAlignment="1">
      <alignment horizontal="center" vertical="center" wrapText="1"/>
    </xf>
    <xf numFmtId="164" fontId="16" fillId="6" borderId="13" xfId="0" applyNumberFormat="1" applyFont="1" applyFill="1" applyBorder="1" applyAlignment="1">
      <alignment horizontal="center" vertical="center" wrapText="1"/>
    </xf>
    <xf numFmtId="164" fontId="16" fillId="6" borderId="12" xfId="0" applyNumberFormat="1" applyFont="1" applyFill="1" applyBorder="1" applyAlignment="1">
      <alignment horizontal="center" vertical="center" wrapText="1"/>
    </xf>
    <xf numFmtId="164" fontId="16" fillId="6" borderId="7" xfId="0" applyNumberFormat="1" applyFont="1" applyFill="1" applyBorder="1" applyAlignment="1">
      <alignment horizontal="center" vertical="center" wrapText="1"/>
    </xf>
    <xf numFmtId="164" fontId="16" fillId="6" borderId="27" xfId="0" applyNumberFormat="1" applyFont="1" applyFill="1" applyBorder="1" applyAlignment="1">
      <alignment horizontal="center" vertical="center" wrapText="1"/>
    </xf>
    <xf numFmtId="164" fontId="16" fillId="6" borderId="28" xfId="0" applyNumberFormat="1" applyFont="1" applyFill="1" applyBorder="1" applyAlignment="1">
      <alignment horizontal="center" vertical="center" wrapText="1"/>
    </xf>
    <xf numFmtId="0" fontId="6" fillId="0" borderId="1" xfId="0" applyFont="1" applyBorder="1" applyAlignment="1">
      <alignment horizontal="center" vertical="center"/>
    </xf>
    <xf numFmtId="0" fontId="2" fillId="0" borderId="0" xfId="0" applyFont="1" applyAlignment="1">
      <alignment horizontal="center" vertical="center"/>
    </xf>
    <xf numFmtId="0" fontId="2" fillId="0" borderId="10" xfId="0" applyFont="1" applyBorder="1" applyAlignment="1">
      <alignment horizontal="center" vertical="center" wrapText="1"/>
    </xf>
    <xf numFmtId="0" fontId="2" fillId="0" borderId="9" xfId="0" applyFont="1" applyBorder="1" applyAlignment="1">
      <alignment horizontal="center" vertical="center"/>
    </xf>
    <xf numFmtId="0" fontId="2" fillId="0" borderId="29" xfId="0" applyFont="1" applyBorder="1" applyAlignment="1">
      <alignment horizontal="center" vertical="center"/>
    </xf>
    <xf numFmtId="1" fontId="2" fillId="0" borderId="29"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52" xfId="0" applyFont="1" applyBorder="1" applyAlignment="1">
      <alignment horizontal="center" vertical="center"/>
    </xf>
    <xf numFmtId="1" fontId="2" fillId="0" borderId="52" xfId="0" applyNumberFormat="1" applyFont="1" applyBorder="1" applyAlignment="1">
      <alignment horizontal="center" vertical="center"/>
    </xf>
    <xf numFmtId="0" fontId="1" fillId="2" borderId="1" xfId="0" applyFont="1" applyFill="1" applyBorder="1" applyAlignment="1">
      <alignment horizontal="left" vertical="center"/>
    </xf>
    <xf numFmtId="0" fontId="2" fillId="0" borderId="4" xfId="0" applyFont="1" applyBorder="1" applyAlignment="1">
      <alignment horizontal="center" vertical="center" wrapText="1"/>
    </xf>
    <xf numFmtId="1" fontId="2" fillId="0" borderId="22" xfId="0" applyNumberFormat="1" applyFont="1" applyBorder="1" applyAlignment="1">
      <alignment horizontal="center" vertical="center"/>
    </xf>
    <xf numFmtId="1" fontId="2" fillId="0" borderId="16" xfId="0" applyNumberFormat="1" applyFont="1" applyBorder="1" applyAlignment="1">
      <alignment horizontal="center" vertical="center"/>
    </xf>
    <xf numFmtId="1" fontId="2" fillId="0" borderId="23" xfId="0" applyNumberFormat="1" applyFont="1" applyBorder="1" applyAlignment="1">
      <alignment horizontal="center" vertical="center"/>
    </xf>
    <xf numFmtId="171" fontId="4" fillId="0" borderId="1" xfId="0" applyNumberFormat="1" applyFont="1" applyBorder="1" applyAlignment="1">
      <alignment horizontal="center" vertical="center" wrapText="1"/>
    </xf>
    <xf numFmtId="171" fontId="1" fillId="0" borderId="1" xfId="0" applyNumberFormat="1" applyFont="1" applyBorder="1" applyAlignment="1">
      <alignment horizontal="center" vertical="center" wrapText="1"/>
    </xf>
    <xf numFmtId="164" fontId="2" fillId="0" borderId="22" xfId="0" applyNumberFormat="1" applyFont="1" applyBorder="1" applyAlignment="1">
      <alignment horizontal="center" vertical="center"/>
    </xf>
    <xf numFmtId="171" fontId="4" fillId="0" borderId="4" xfId="0" applyNumberFormat="1" applyFont="1" applyBorder="1" applyAlignment="1">
      <alignment horizontal="center" vertical="center" wrapText="1"/>
    </xf>
    <xf numFmtId="171" fontId="2" fillId="0" borderId="4" xfId="0" applyNumberFormat="1"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164" fontId="2" fillId="0" borderId="16" xfId="0" applyNumberFormat="1" applyFont="1" applyBorder="1" applyAlignment="1">
      <alignment horizontal="center" vertical="center"/>
    </xf>
    <xf numFmtId="164" fontId="2" fillId="0" borderId="23" xfId="0" applyNumberFormat="1" applyFont="1" applyBorder="1" applyAlignment="1">
      <alignment horizontal="center" vertical="center"/>
    </xf>
    <xf numFmtId="0" fontId="2" fillId="0" borderId="33" xfId="0" applyFont="1" applyBorder="1" applyAlignment="1">
      <alignment horizontal="center" vertical="center" wrapText="1"/>
    </xf>
    <xf numFmtId="170" fontId="1" fillId="0" borderId="0" xfId="155" applyNumberFormat="1" applyFont="1" applyFill="1" applyBorder="1" applyAlignment="1">
      <alignment horizontal="center" vertical="center"/>
    </xf>
    <xf numFmtId="170" fontId="2" fillId="0" borderId="33" xfId="155" applyNumberFormat="1" applyFont="1" applyBorder="1" applyAlignment="1">
      <alignment horizontal="center" vertical="center"/>
    </xf>
    <xf numFmtId="170" fontId="2" fillId="0" borderId="35" xfId="155" applyNumberFormat="1" applyFont="1" applyBorder="1" applyAlignment="1">
      <alignment horizontal="center" vertical="center"/>
    </xf>
    <xf numFmtId="0" fontId="2" fillId="0" borderId="30" xfId="0" applyFont="1" applyBorder="1" applyAlignment="1">
      <alignment horizontal="center" vertical="center" wrapText="1"/>
    </xf>
    <xf numFmtId="170" fontId="2" fillId="0" borderId="30" xfId="155" applyNumberFormat="1" applyFont="1" applyBorder="1" applyAlignment="1">
      <alignment horizontal="center" vertical="center"/>
    </xf>
    <xf numFmtId="170" fontId="2" fillId="0" borderId="31" xfId="155" applyNumberFormat="1" applyFont="1" applyBorder="1" applyAlignment="1">
      <alignment horizontal="center" vertical="center"/>
    </xf>
    <xf numFmtId="170" fontId="2" fillId="0" borderId="34" xfId="155" applyNumberFormat="1" applyFont="1" applyBorder="1" applyAlignment="1">
      <alignment horizontal="center" vertical="center"/>
    </xf>
    <xf numFmtId="170" fontId="2" fillId="0" borderId="32" xfId="155" applyNumberFormat="1"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0" xfId="0" applyFont="1" applyAlignment="1">
      <alignment horizontal="center" vertical="center" wrapText="1"/>
    </xf>
    <xf numFmtId="0" fontId="2" fillId="2" borderId="5" xfId="0" applyFont="1" applyFill="1" applyBorder="1" applyAlignment="1">
      <alignment horizontal="center" vertical="center" wrapText="1"/>
    </xf>
    <xf numFmtId="0" fontId="0" fillId="0" borderId="0" xfId="0" applyAlignment="1">
      <alignment vertical="center" wrapText="1"/>
    </xf>
    <xf numFmtId="0" fontId="2" fillId="5" borderId="1" xfId="0" applyFont="1" applyFill="1" applyBorder="1" applyAlignment="1" applyProtection="1">
      <alignment horizontal="center" vertical="center" wrapText="1"/>
      <protection locked="0"/>
    </xf>
    <xf numFmtId="167" fontId="4" fillId="5" borderId="5" xfId="0" applyNumberFormat="1" applyFont="1" applyFill="1" applyBorder="1" applyAlignment="1" applyProtection="1">
      <alignment horizontal="center" vertical="center" wrapText="1"/>
      <protection locked="0"/>
    </xf>
    <xf numFmtId="167" fontId="4" fillId="5" borderId="1" xfId="0" applyNumberFormat="1" applyFont="1" applyFill="1" applyBorder="1" applyAlignment="1" applyProtection="1">
      <alignment horizontal="center" vertical="center" wrapText="1"/>
      <protection locked="0"/>
    </xf>
    <xf numFmtId="1" fontId="4" fillId="5" borderId="13" xfId="0" applyNumberFormat="1" applyFont="1" applyFill="1" applyBorder="1" applyAlignment="1" applyProtection="1">
      <alignment horizontal="center" vertical="center" wrapText="1"/>
      <protection locked="0"/>
    </xf>
    <xf numFmtId="1" fontId="4" fillId="5" borderId="12" xfId="0" applyNumberFormat="1" applyFont="1" applyFill="1" applyBorder="1" applyAlignment="1" applyProtection="1">
      <alignment horizontal="center" vertical="center" wrapText="1"/>
      <protection locked="0"/>
    </xf>
    <xf numFmtId="1" fontId="4" fillId="5" borderId="5" xfId="0" applyNumberFormat="1" applyFont="1" applyFill="1" applyBorder="1" applyAlignment="1" applyProtection="1">
      <alignment horizontal="center" vertical="center" wrapText="1"/>
      <protection locked="0"/>
    </xf>
    <xf numFmtId="1" fontId="4" fillId="5" borderId="15" xfId="0" applyNumberFormat="1" applyFont="1" applyFill="1" applyBorder="1" applyAlignment="1" applyProtection="1">
      <alignment horizontal="center" vertical="center" wrapText="1"/>
      <protection locked="0"/>
    </xf>
    <xf numFmtId="1" fontId="4" fillId="5" borderId="19" xfId="0" applyNumberFormat="1" applyFont="1" applyFill="1" applyBorder="1" applyAlignment="1" applyProtection="1">
      <alignment horizontal="center" vertical="center" wrapText="1"/>
      <protection locked="0"/>
    </xf>
    <xf numFmtId="168" fontId="4" fillId="5" borderId="21" xfId="0" applyNumberFormat="1" applyFont="1" applyFill="1" applyBorder="1" applyAlignment="1" applyProtection="1">
      <alignment horizontal="center" vertical="center" wrapText="1"/>
      <protection locked="0"/>
    </xf>
    <xf numFmtId="1" fontId="12" fillId="5" borderId="4" xfId="0" applyNumberFormat="1" applyFont="1" applyFill="1" applyBorder="1" applyAlignment="1" applyProtection="1">
      <alignment horizontal="center" vertical="center" wrapText="1"/>
      <protection locked="0"/>
    </xf>
    <xf numFmtId="1" fontId="4" fillId="5" borderId="4" xfId="0" applyNumberFormat="1" applyFont="1" applyFill="1" applyBorder="1" applyAlignment="1" applyProtection="1">
      <alignment horizontal="center" vertical="center" wrapText="1"/>
      <protection locked="0"/>
    </xf>
    <xf numFmtId="1" fontId="12" fillId="5" borderId="64" xfId="0" applyNumberFormat="1"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2" fillId="0" borderId="29" xfId="0" applyFont="1" applyBorder="1" applyAlignment="1">
      <alignment vertical="center"/>
    </xf>
    <xf numFmtId="0" fontId="2" fillId="0" borderId="22" xfId="0" applyFont="1" applyBorder="1" applyAlignment="1">
      <alignment horizontal="center" vertical="center"/>
    </xf>
    <xf numFmtId="0" fontId="2" fillId="0" borderId="16" xfId="0" applyFont="1" applyBorder="1" applyAlignment="1">
      <alignment horizontal="center" vertical="center"/>
    </xf>
    <xf numFmtId="0" fontId="2" fillId="0" borderId="52" xfId="0" applyFont="1" applyBorder="1" applyAlignment="1">
      <alignment vertical="center"/>
    </xf>
    <xf numFmtId="0" fontId="2" fillId="0" borderId="23" xfId="0" applyFont="1" applyBorder="1" applyAlignment="1">
      <alignment horizontal="center" vertical="center"/>
    </xf>
    <xf numFmtId="0" fontId="2" fillId="0" borderId="9" xfId="0" applyFont="1" applyBorder="1" applyAlignment="1">
      <alignment vertical="center"/>
    </xf>
    <xf numFmtId="0" fontId="2" fillId="0" borderId="4" xfId="0" applyFont="1" applyBorder="1" applyAlignment="1">
      <alignment horizontal="center" vertical="center"/>
    </xf>
    <xf numFmtId="0" fontId="0" fillId="0" borderId="1" xfId="0" applyBorder="1" applyAlignment="1">
      <alignment horizontal="left" vertical="center"/>
    </xf>
    <xf numFmtId="1" fontId="2" fillId="0" borderId="4" xfId="0" applyNumberFormat="1" applyFont="1" applyBorder="1" applyAlignment="1">
      <alignment horizontal="center" vertical="center"/>
    </xf>
    <xf numFmtId="170" fontId="2" fillId="0" borderId="4" xfId="155" applyNumberFormat="1" applyFont="1" applyBorder="1" applyAlignment="1">
      <alignment horizontal="center" vertical="center"/>
    </xf>
    <xf numFmtId="170" fontId="2" fillId="0" borderId="0" xfId="155" applyNumberFormat="1" applyFont="1" applyBorder="1" applyAlignment="1">
      <alignment horizontal="center" vertical="center"/>
    </xf>
    <xf numFmtId="0" fontId="4" fillId="0" borderId="26" xfId="0" applyFont="1" applyBorder="1" applyAlignment="1">
      <alignment horizontal="left" vertical="center"/>
    </xf>
    <xf numFmtId="0" fontId="4" fillId="0" borderId="1" xfId="0" applyFont="1" applyBorder="1" applyAlignment="1">
      <alignment horizontal="left" vertical="center" wrapText="1"/>
    </xf>
    <xf numFmtId="0" fontId="4" fillId="0" borderId="56" xfId="0" applyFont="1" applyBorder="1" applyAlignment="1">
      <alignment horizontal="left" vertical="center"/>
    </xf>
    <xf numFmtId="0" fontId="1" fillId="0" borderId="1" xfId="0" applyFont="1" applyBorder="1" applyAlignment="1">
      <alignment horizontal="center" vertical="center"/>
    </xf>
    <xf numFmtId="0" fontId="4" fillId="0" borderId="1"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165" fontId="7" fillId="0" borderId="1" xfId="0" applyNumberFormat="1" applyFont="1" applyBorder="1" applyAlignment="1">
      <alignment horizontal="left" vertical="center" wrapText="1"/>
    </xf>
    <xf numFmtId="0" fontId="4" fillId="0" borderId="13"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7" xfId="0" applyFont="1" applyBorder="1" applyAlignment="1">
      <alignment horizontal="left" vertical="center"/>
    </xf>
    <xf numFmtId="0" fontId="4" fillId="0" borderId="3" xfId="0" applyFont="1" applyBorder="1" applyAlignment="1">
      <alignment horizontal="left" vertical="center"/>
    </xf>
    <xf numFmtId="165" fontId="7" fillId="0" borderId="1" xfId="0" applyNumberFormat="1"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4" xfId="0" applyFont="1" applyBorder="1" applyAlignment="1" applyProtection="1">
      <alignment vertical="center"/>
      <protection locked="0"/>
    </xf>
    <xf numFmtId="0" fontId="3" fillId="0" borderId="4" xfId="0" applyFont="1" applyBorder="1" applyAlignment="1">
      <alignment horizontal="left" vertical="center"/>
    </xf>
    <xf numFmtId="0" fontId="4" fillId="0" borderId="4" xfId="0" applyFont="1" applyBorder="1" applyAlignment="1">
      <alignment horizontal="left" vertical="center" wrapText="1"/>
    </xf>
    <xf numFmtId="0" fontId="4" fillId="0" borderId="18" xfId="0" applyFont="1" applyBorder="1" applyAlignment="1">
      <alignment horizontal="left" vertical="center" wrapText="1" indent="2"/>
    </xf>
    <xf numFmtId="0" fontId="2" fillId="0" borderId="4" xfId="0" applyFont="1" applyBorder="1" applyAlignment="1" applyProtection="1">
      <alignment horizontal="left" vertical="center"/>
      <protection locked="0"/>
    </xf>
    <xf numFmtId="0" fontId="4" fillId="0" borderId="20" xfId="0" applyFont="1" applyBorder="1" applyAlignment="1">
      <alignment horizontal="left" vertical="center" wrapText="1" indent="2"/>
    </xf>
    <xf numFmtId="165" fontId="7" fillId="0" borderId="1" xfId="0" applyNumberFormat="1" applyFont="1" applyBorder="1" applyAlignment="1" applyProtection="1">
      <alignment vertical="center" wrapText="1"/>
      <protection locked="0"/>
    </xf>
    <xf numFmtId="0" fontId="7" fillId="0" borderId="1" xfId="0" applyFont="1" applyBorder="1" applyAlignment="1" applyProtection="1">
      <alignment horizontal="left" vertical="center" wrapText="1"/>
      <protection locked="0"/>
    </xf>
    <xf numFmtId="0" fontId="6" fillId="0" borderId="1" xfId="0" applyFont="1" applyBorder="1" applyAlignment="1">
      <alignment horizontal="left" vertical="center"/>
    </xf>
    <xf numFmtId="0" fontId="19" fillId="0" borderId="0" xfId="0" applyFont="1" applyAlignment="1">
      <alignment horizontal="left" vertical="center"/>
    </xf>
    <xf numFmtId="0" fontId="2" fillId="0" borderId="1" xfId="0" applyFont="1" applyBorder="1" applyAlignment="1" applyProtection="1">
      <alignment horizontal="left" vertical="center" wrapText="1"/>
      <protection locked="0"/>
    </xf>
    <xf numFmtId="0" fontId="2" fillId="0" borderId="9" xfId="0" applyFont="1" applyBorder="1" applyAlignment="1">
      <alignment horizontal="center" vertical="center" wrapText="1"/>
    </xf>
    <xf numFmtId="0" fontId="12" fillId="0" borderId="10" xfId="0" applyFont="1" applyBorder="1" applyAlignment="1">
      <alignment vertical="center"/>
    </xf>
    <xf numFmtId="0" fontId="26" fillId="8" borderId="10" xfId="0" applyFont="1" applyFill="1" applyBorder="1" applyAlignment="1">
      <alignment vertical="center"/>
    </xf>
    <xf numFmtId="0" fontId="27" fillId="7" borderId="83" xfId="684" applyFont="1" applyBorder="1" applyAlignment="1">
      <alignment horizontal="center" vertical="center"/>
    </xf>
    <xf numFmtId="0" fontId="28" fillId="0" borderId="0" xfId="0" applyFont="1" applyAlignment="1">
      <alignment vertical="center"/>
    </xf>
    <xf numFmtId="0" fontId="28" fillId="8" borderId="4" xfId="0" applyFont="1" applyFill="1" applyBorder="1" applyAlignment="1">
      <alignment vertical="center"/>
    </xf>
    <xf numFmtId="0" fontId="0" fillId="0" borderId="22" xfId="0" applyBorder="1" applyAlignment="1">
      <alignment vertical="center" wrapText="1"/>
    </xf>
    <xf numFmtId="0" fontId="0" fillId="0" borderId="16" xfId="0" applyBorder="1" applyAlignment="1">
      <alignment vertical="center" wrapText="1"/>
    </xf>
    <xf numFmtId="0" fontId="0" fillId="0" borderId="23" xfId="0" applyBorder="1" applyAlignment="1">
      <alignment vertical="center" wrapText="1"/>
    </xf>
    <xf numFmtId="0" fontId="4" fillId="0" borderId="16" xfId="0" applyFont="1" applyBorder="1" applyAlignment="1">
      <alignment horizontal="left" vertical="center" wrapText="1"/>
    </xf>
    <xf numFmtId="0" fontId="4" fillId="0" borderId="16" xfId="0" applyFont="1" applyBorder="1" applyAlignment="1">
      <alignment horizontal="left" vertical="center" wrapText="1" indent="2"/>
    </xf>
    <xf numFmtId="0" fontId="2" fillId="0" borderId="16" xfId="0" applyFont="1" applyBorder="1" applyAlignment="1">
      <alignment horizontal="left" vertical="center" wrapText="1" indent="2"/>
    </xf>
    <xf numFmtId="0" fontId="4" fillId="0" borderId="16" xfId="0" applyFont="1" applyBorder="1" applyAlignment="1">
      <alignment horizontal="left" vertical="center" wrapText="1" indent="1"/>
    </xf>
    <xf numFmtId="0" fontId="2" fillId="0" borderId="16" xfId="0" applyFont="1" applyBorder="1" applyAlignment="1">
      <alignment horizontal="left" vertical="center" wrapText="1"/>
    </xf>
    <xf numFmtId="0" fontId="0" fillId="0" borderId="16" xfId="0" applyBorder="1" applyAlignment="1">
      <alignment vertical="center"/>
    </xf>
    <xf numFmtId="0" fontId="0" fillId="0" borderId="23" xfId="0" applyBorder="1" applyAlignment="1">
      <alignment vertical="center"/>
    </xf>
    <xf numFmtId="0" fontId="28" fillId="4" borderId="4" xfId="0" applyFont="1" applyFill="1" applyBorder="1" applyAlignment="1">
      <alignment vertical="center"/>
    </xf>
    <xf numFmtId="0" fontId="28" fillId="8" borderId="8" xfId="0" applyFont="1" applyFill="1" applyBorder="1" applyAlignment="1">
      <alignment vertical="center"/>
    </xf>
    <xf numFmtId="0" fontId="28" fillId="8" borderId="10" xfId="0" applyFont="1" applyFill="1" applyBorder="1" applyAlignment="1">
      <alignment vertical="center"/>
    </xf>
    <xf numFmtId="0" fontId="29" fillId="0" borderId="0" xfId="0" applyFont="1"/>
    <xf numFmtId="0" fontId="2" fillId="0" borderId="8" xfId="0" applyFont="1" applyBorder="1" applyAlignment="1">
      <alignment horizontal="center" vertical="center" wrapText="1"/>
    </xf>
    <xf numFmtId="0" fontId="0" fillId="0" borderId="31" xfId="0" applyBorder="1" applyAlignment="1">
      <alignment vertical="center"/>
    </xf>
    <xf numFmtId="0" fontId="0" fillId="0" borderId="32" xfId="0" applyBorder="1" applyAlignment="1">
      <alignment vertical="center"/>
    </xf>
    <xf numFmtId="173" fontId="4" fillId="5" borderId="5" xfId="0" applyNumberFormat="1" applyFont="1" applyFill="1" applyBorder="1" applyAlignment="1" applyProtection="1">
      <alignment horizontal="center" vertical="center" wrapText="1"/>
      <protection locked="0"/>
    </xf>
    <xf numFmtId="0" fontId="0" fillId="10" borderId="16" xfId="0" applyFill="1" applyBorder="1" applyAlignment="1">
      <alignment vertical="center" wrapText="1"/>
    </xf>
    <xf numFmtId="0" fontId="23" fillId="0" borderId="0" xfId="0" applyFont="1" applyAlignment="1">
      <alignment horizontal="left" vertical="center"/>
    </xf>
    <xf numFmtId="0" fontId="2" fillId="11" borderId="4" xfId="0" applyFont="1" applyFill="1" applyBorder="1" applyAlignment="1" applyProtection="1">
      <alignment horizontal="left" vertical="center"/>
      <protection locked="0"/>
    </xf>
    <xf numFmtId="0" fontId="2" fillId="0" borderId="1" xfId="0" applyFont="1" applyBorder="1" applyAlignment="1">
      <alignment horizontal="left" vertical="center" wrapText="1"/>
    </xf>
    <xf numFmtId="170" fontId="2" fillId="0" borderId="30" xfId="155" applyNumberFormat="1" applyFont="1" applyFill="1" applyBorder="1" applyAlignment="1">
      <alignment horizontal="center" vertical="center"/>
    </xf>
    <xf numFmtId="170" fontId="2" fillId="0" borderId="32" xfId="155" applyNumberFormat="1" applyFont="1" applyFill="1" applyBorder="1" applyAlignment="1">
      <alignment horizontal="center" vertical="center"/>
    </xf>
    <xf numFmtId="1" fontId="1" fillId="0" borderId="4" xfId="0" applyNumberFormat="1" applyFont="1" applyBorder="1" applyAlignment="1">
      <alignment horizontal="center" vertical="center"/>
    </xf>
    <xf numFmtId="170" fontId="2" fillId="0" borderId="22" xfId="155" applyNumberFormat="1" applyFont="1" applyFill="1" applyBorder="1" applyAlignment="1">
      <alignment horizontal="center" vertical="center"/>
    </xf>
    <xf numFmtId="170" fontId="2" fillId="0" borderId="23" xfId="155" applyNumberFormat="1" applyFont="1" applyFill="1" applyBorder="1" applyAlignment="1">
      <alignment horizontal="center" vertical="center"/>
    </xf>
    <xf numFmtId="0" fontId="3" fillId="0" borderId="1" xfId="0" applyFont="1" applyBorder="1" applyAlignment="1">
      <alignment horizontal="center" vertical="center"/>
    </xf>
    <xf numFmtId="0" fontId="17" fillId="0" borderId="8" xfId="0" applyFont="1" applyBorder="1" applyAlignment="1">
      <alignment vertical="center"/>
    </xf>
    <xf numFmtId="0" fontId="2" fillId="0" borderId="10" xfId="0" applyFont="1" applyBorder="1" applyAlignment="1">
      <alignment horizontal="center"/>
    </xf>
    <xf numFmtId="0" fontId="2" fillId="0" borderId="0" xfId="0" applyFont="1" applyAlignment="1">
      <alignment horizontal="left" vertical="center"/>
    </xf>
    <xf numFmtId="0" fontId="32" fillId="0" borderId="0" xfId="0" applyFont="1" applyAlignment="1">
      <alignment horizontal="center" vertical="center" wrapText="1"/>
    </xf>
    <xf numFmtId="0" fontId="33" fillId="0" borderId="4" xfId="0" applyFont="1" applyBorder="1" applyAlignment="1">
      <alignment horizontal="center"/>
    </xf>
    <xf numFmtId="0" fontId="0" fillId="0" borderId="0" xfId="0" applyAlignment="1">
      <alignment horizontal="center"/>
    </xf>
    <xf numFmtId="0" fontId="34" fillId="0" borderId="0" xfId="0" applyFont="1" applyAlignment="1">
      <alignment vertical="center"/>
    </xf>
    <xf numFmtId="0" fontId="35" fillId="0" borderId="16" xfId="0" applyFont="1" applyBorder="1" applyAlignment="1">
      <alignment horizontal="left" vertical="center" wrapText="1"/>
    </xf>
    <xf numFmtId="0" fontId="35" fillId="0" borderId="16" xfId="0" applyFont="1" applyBorder="1" applyAlignment="1">
      <alignment horizontal="left" vertical="center" wrapText="1" indent="2"/>
    </xf>
    <xf numFmtId="0" fontId="35" fillId="0" borderId="16" xfId="0" applyFont="1" applyBorder="1" applyAlignment="1">
      <alignment horizontal="left" vertical="center" wrapText="1" indent="1"/>
    </xf>
    <xf numFmtId="0" fontId="35" fillId="0" borderId="22" xfId="0" applyFont="1" applyBorder="1" applyAlignment="1">
      <alignment horizontal="left" vertical="center" wrapText="1"/>
    </xf>
    <xf numFmtId="0" fontId="3" fillId="0" borderId="56" xfId="0" applyFont="1" applyBorder="1" applyAlignment="1">
      <alignment horizontal="center" vertical="center"/>
    </xf>
    <xf numFmtId="0" fontId="0" fillId="0" borderId="85" xfId="0" applyBorder="1" applyAlignment="1">
      <alignment horizontal="center" vertical="center"/>
    </xf>
    <xf numFmtId="0" fontId="3" fillId="0" borderId="4" xfId="0" applyFont="1" applyBorder="1" applyAlignment="1">
      <alignment horizontal="center" vertical="center"/>
    </xf>
    <xf numFmtId="0" fontId="4" fillId="0" borderId="87" xfId="0" applyFont="1" applyBorder="1" applyAlignment="1">
      <alignment horizontal="left" vertical="center" wrapText="1" indent="2"/>
    </xf>
    <xf numFmtId="0" fontId="4" fillId="0" borderId="89" xfId="0" applyFont="1" applyBorder="1" applyAlignment="1">
      <alignment horizontal="left" vertical="center" wrapText="1" indent="2"/>
    </xf>
    <xf numFmtId="0" fontId="4" fillId="0" borderId="65" xfId="0" applyFont="1" applyBorder="1" applyAlignment="1">
      <alignment horizontal="left" vertical="center" wrapText="1"/>
    </xf>
    <xf numFmtId="0" fontId="1" fillId="0" borderId="65" xfId="0" applyFont="1" applyBorder="1" applyAlignment="1">
      <alignment horizontal="center" vertical="center"/>
    </xf>
    <xf numFmtId="0" fontId="4" fillId="0" borderId="10" xfId="0" applyFont="1" applyBorder="1" applyAlignment="1">
      <alignment horizontal="left" vertical="center" wrapText="1"/>
    </xf>
    <xf numFmtId="0" fontId="2" fillId="2" borderId="22" xfId="0" applyFont="1" applyFill="1" applyBorder="1" applyAlignment="1">
      <alignment horizontal="center" vertical="center"/>
    </xf>
    <xf numFmtId="0" fontId="2" fillId="2" borderId="2" xfId="0" applyFont="1" applyFill="1" applyBorder="1" applyAlignment="1">
      <alignment horizontal="center" vertical="center"/>
    </xf>
    <xf numFmtId="0" fontId="19" fillId="0" borderId="31" xfId="0" applyFont="1" applyBorder="1" applyAlignment="1">
      <alignment horizontal="left" vertical="center"/>
    </xf>
    <xf numFmtId="0" fontId="37" fillId="0" borderId="16" xfId="0" applyFont="1" applyBorder="1" applyAlignment="1">
      <alignment vertical="center" wrapText="1"/>
    </xf>
    <xf numFmtId="0" fontId="41" fillId="0" borderId="16" xfId="0" applyFont="1" applyBorder="1" applyAlignment="1">
      <alignment vertical="center" wrapText="1"/>
    </xf>
    <xf numFmtId="0" fontId="43" fillId="0" borderId="16" xfId="0" applyFont="1" applyBorder="1" applyAlignment="1">
      <alignment horizontal="left" vertical="center" wrapText="1"/>
    </xf>
    <xf numFmtId="0" fontId="45" fillId="0" borderId="16" xfId="0" applyFont="1" applyBorder="1" applyAlignment="1">
      <alignment horizontal="left" vertical="center" wrapText="1"/>
    </xf>
    <xf numFmtId="0" fontId="45" fillId="0" borderId="16" xfId="0" applyFont="1" applyBorder="1" applyAlignment="1">
      <alignment horizontal="left" vertical="center" wrapText="1" indent="2"/>
    </xf>
    <xf numFmtId="0" fontId="46" fillId="12" borderId="16" xfId="0" applyFont="1" applyFill="1" applyBorder="1" applyAlignment="1">
      <alignment horizontal="left" vertical="center" wrapText="1" indent="2"/>
    </xf>
    <xf numFmtId="0" fontId="43" fillId="0" borderId="16" xfId="0" applyFont="1" applyBorder="1" applyAlignment="1">
      <alignment horizontal="left" vertical="center" wrapText="1" indent="2"/>
    </xf>
    <xf numFmtId="0" fontId="46" fillId="0" borderId="16" xfId="0" applyFont="1" applyBorder="1" applyAlignment="1">
      <alignment horizontal="left" vertical="center" wrapText="1" indent="2"/>
    </xf>
    <xf numFmtId="0" fontId="43" fillId="0" borderId="16" xfId="0" applyFont="1" applyBorder="1" applyAlignment="1">
      <alignment horizontal="left" vertical="center" wrapText="1" indent="1"/>
    </xf>
    <xf numFmtId="0" fontId="47" fillId="0" borderId="16" xfId="0" applyFont="1" applyBorder="1" applyAlignment="1">
      <alignment horizontal="left" vertical="center" wrapText="1" indent="1"/>
    </xf>
    <xf numFmtId="0" fontId="45" fillId="0" borderId="16" xfId="0" applyFont="1" applyBorder="1" applyAlignment="1">
      <alignment horizontal="left" vertical="center" wrapText="1" indent="1"/>
    </xf>
    <xf numFmtId="0" fontId="46" fillId="0" borderId="16" xfId="0" applyFont="1" applyBorder="1" applyAlignment="1">
      <alignment horizontal="left" vertical="center" wrapText="1"/>
    </xf>
    <xf numFmtId="0" fontId="47" fillId="12" borderId="16" xfId="0" applyFont="1" applyFill="1" applyBorder="1" applyAlignment="1">
      <alignment horizontal="left" vertical="center" wrapText="1"/>
    </xf>
    <xf numFmtId="0" fontId="45" fillId="12" borderId="16" xfId="0" applyFont="1" applyFill="1" applyBorder="1" applyAlignment="1">
      <alignment horizontal="left" vertical="center" wrapText="1" indent="2"/>
    </xf>
    <xf numFmtId="0" fontId="47" fillId="12" borderId="16" xfId="0" applyFont="1" applyFill="1" applyBorder="1" applyAlignment="1">
      <alignment horizontal="left" vertical="center" wrapText="1" indent="2"/>
    </xf>
    <xf numFmtId="0" fontId="41" fillId="12" borderId="16" xfId="0" applyFont="1" applyFill="1" applyBorder="1" applyAlignment="1">
      <alignment vertical="center" wrapText="1"/>
    </xf>
    <xf numFmtId="0" fontId="27" fillId="13" borderId="83" xfId="684" applyFont="1" applyFill="1" applyBorder="1" applyAlignment="1">
      <alignment horizontal="center" vertical="center"/>
    </xf>
    <xf numFmtId="0" fontId="39" fillId="3" borderId="30" xfId="0" applyFont="1" applyFill="1" applyBorder="1" applyAlignment="1">
      <alignment vertical="center"/>
    </xf>
    <xf numFmtId="0" fontId="39" fillId="3" borderId="22" xfId="0" applyFont="1" applyFill="1" applyBorder="1" applyAlignment="1">
      <alignment vertical="center" wrapText="1"/>
    </xf>
    <xf numFmtId="0" fontId="0" fillId="3" borderId="22" xfId="0" applyFill="1" applyBorder="1" applyAlignment="1">
      <alignment vertical="center" wrapText="1"/>
    </xf>
    <xf numFmtId="0" fontId="39" fillId="3" borderId="31" xfId="0" applyFont="1" applyFill="1" applyBorder="1" applyAlignment="1">
      <alignment vertical="center"/>
    </xf>
    <xf numFmtId="0" fontId="39" fillId="3" borderId="16" xfId="0" applyFont="1" applyFill="1" applyBorder="1" applyAlignment="1">
      <alignment vertical="center" wrapText="1"/>
    </xf>
    <xf numFmtId="0" fontId="0" fillId="3" borderId="16" xfId="0" applyFill="1" applyBorder="1" applyAlignment="1">
      <alignment vertical="center" wrapText="1"/>
    </xf>
    <xf numFmtId="0" fontId="0" fillId="3" borderId="31" xfId="0" applyFill="1" applyBorder="1" applyAlignment="1">
      <alignment vertical="center"/>
    </xf>
    <xf numFmtId="0" fontId="0" fillId="3" borderId="32" xfId="0" applyFill="1" applyBorder="1" applyAlignment="1">
      <alignment vertical="center"/>
    </xf>
    <xf numFmtId="0" fontId="0" fillId="3" borderId="23" xfId="0" applyFill="1" applyBorder="1" applyAlignment="1">
      <alignment vertical="center" wrapText="1"/>
    </xf>
    <xf numFmtId="0" fontId="0" fillId="0" borderId="30" xfId="0" applyBorder="1" applyAlignment="1">
      <alignment vertical="center"/>
    </xf>
    <xf numFmtId="0" fontId="0" fillId="11" borderId="30" xfId="0" applyFill="1" applyBorder="1" applyAlignment="1">
      <alignment vertical="center"/>
    </xf>
    <xf numFmtId="0" fontId="35" fillId="11" borderId="22" xfId="0" applyFont="1" applyFill="1" applyBorder="1" applyAlignment="1">
      <alignment horizontal="left" vertical="center" wrapText="1"/>
    </xf>
    <xf numFmtId="0" fontId="0" fillId="11" borderId="22" xfId="0" applyFill="1" applyBorder="1" applyAlignment="1">
      <alignment vertical="center" wrapText="1"/>
    </xf>
    <xf numFmtId="0" fontId="0" fillId="11" borderId="31" xfId="0" applyFill="1" applyBorder="1" applyAlignment="1">
      <alignment vertical="center"/>
    </xf>
    <xf numFmtId="0" fontId="35" fillId="11" borderId="16" xfId="0" applyFont="1" applyFill="1" applyBorder="1" applyAlignment="1">
      <alignment horizontal="left" vertical="center" wrapText="1"/>
    </xf>
    <xf numFmtId="0" fontId="0" fillId="11" borderId="16" xfId="0" applyFill="1" applyBorder="1" applyAlignment="1">
      <alignment vertical="center" wrapText="1"/>
    </xf>
    <xf numFmtId="0" fontId="35" fillId="11" borderId="16" xfId="0" applyFont="1" applyFill="1" applyBorder="1" applyAlignment="1">
      <alignment horizontal="left" vertical="center" wrapText="1" indent="2"/>
    </xf>
    <xf numFmtId="0" fontId="35" fillId="11" borderId="16" xfId="0" applyFont="1" applyFill="1" applyBorder="1" applyAlignment="1">
      <alignment horizontal="left" vertical="center" wrapText="1" indent="1"/>
    </xf>
    <xf numFmtId="0" fontId="0" fillId="11" borderId="32" xfId="0" applyFill="1" applyBorder="1" applyAlignment="1">
      <alignment vertical="center"/>
    </xf>
    <xf numFmtId="0" fontId="35" fillId="11" borderId="23" xfId="0" applyFont="1" applyFill="1" applyBorder="1" applyAlignment="1">
      <alignment horizontal="left" vertical="center" wrapText="1"/>
    </xf>
    <xf numFmtId="0" fontId="0" fillId="11" borderId="23" xfId="0" applyFill="1" applyBorder="1" applyAlignment="1">
      <alignment vertical="center" wrapText="1"/>
    </xf>
    <xf numFmtId="0" fontId="28" fillId="13" borderId="83" xfId="0" applyFont="1" applyFill="1" applyBorder="1" applyAlignment="1">
      <alignment vertical="center"/>
    </xf>
    <xf numFmtId="0" fontId="26" fillId="13" borderId="83" xfId="0" applyFont="1" applyFill="1" applyBorder="1" applyAlignment="1">
      <alignment vertical="center"/>
    </xf>
    <xf numFmtId="0" fontId="35" fillId="0" borderId="0" xfId="0" applyFont="1" applyAlignment="1">
      <alignment vertical="center"/>
    </xf>
    <xf numFmtId="0" fontId="35" fillId="0" borderId="22" xfId="0" applyFont="1" applyBorder="1" applyAlignment="1">
      <alignment vertical="center" wrapText="1"/>
    </xf>
    <xf numFmtId="0" fontId="35" fillId="0" borderId="16" xfId="0" applyFont="1" applyBorder="1" applyAlignment="1">
      <alignment vertical="center" wrapText="1"/>
    </xf>
    <xf numFmtId="0" fontId="37" fillId="0" borderId="0" xfId="0" applyFont="1" applyAlignment="1">
      <alignment vertical="center"/>
    </xf>
    <xf numFmtId="0" fontId="48" fillId="0" borderId="22" xfId="0" applyFont="1" applyBorder="1" applyAlignment="1">
      <alignment vertical="center" wrapText="1"/>
    </xf>
    <xf numFmtId="0" fontId="48" fillId="0" borderId="0" xfId="0" applyFont="1" applyAlignment="1">
      <alignment vertical="center"/>
    </xf>
    <xf numFmtId="0" fontId="37" fillId="0" borderId="22" xfId="0" applyFont="1" applyBorder="1" applyAlignment="1">
      <alignment vertical="center" wrapText="1"/>
    </xf>
    <xf numFmtId="0" fontId="48" fillId="0" borderId="16" xfId="0" applyFont="1" applyBorder="1" applyAlignment="1">
      <alignment vertical="center" wrapText="1"/>
    </xf>
    <xf numFmtId="0" fontId="28" fillId="8" borderId="9" xfId="0" applyFont="1" applyFill="1" applyBorder="1" applyAlignment="1">
      <alignment vertical="center"/>
    </xf>
    <xf numFmtId="0" fontId="28" fillId="4" borderId="4" xfId="0" applyFont="1" applyFill="1"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3" fillId="0" borderId="22" xfId="0" applyFont="1" applyBorder="1" applyAlignment="1">
      <alignment horizontal="left" vertical="center"/>
    </xf>
    <xf numFmtId="0" fontId="3" fillId="0" borderId="16" xfId="0" applyFont="1" applyBorder="1" applyAlignment="1">
      <alignment horizontal="left" vertical="center"/>
    </xf>
    <xf numFmtId="0" fontId="4" fillId="0" borderId="2" xfId="0" applyFont="1" applyBorder="1" applyAlignment="1">
      <alignment horizontal="center" vertical="center"/>
    </xf>
    <xf numFmtId="0" fontId="33" fillId="0" borderId="4" xfId="0" applyFont="1" applyBorder="1" applyAlignment="1">
      <alignment vertical="center" wrapText="1"/>
    </xf>
    <xf numFmtId="0" fontId="33" fillId="0" borderId="16" xfId="0" applyFont="1" applyBorder="1" applyAlignment="1">
      <alignment vertical="center" wrapText="1"/>
    </xf>
    <xf numFmtId="0" fontId="0" fillId="8" borderId="16" xfId="0" applyFill="1" applyBorder="1" applyAlignment="1">
      <alignment vertical="center" wrapText="1"/>
    </xf>
    <xf numFmtId="0" fontId="0" fillId="8" borderId="23" xfId="0" applyFill="1" applyBorder="1" applyAlignment="1">
      <alignment vertical="center" wrapText="1"/>
    </xf>
    <xf numFmtId="0" fontId="0" fillId="8" borderId="22" xfId="0" applyFill="1" applyBorder="1" applyAlignment="1">
      <alignment vertical="center" wrapText="1"/>
    </xf>
    <xf numFmtId="0" fontId="4" fillId="8" borderId="16" xfId="0" applyFont="1" applyFill="1" applyBorder="1" applyAlignment="1">
      <alignment horizontal="left" vertical="center" wrapText="1"/>
    </xf>
    <xf numFmtId="0" fontId="4" fillId="8" borderId="16" xfId="0" applyFont="1" applyFill="1" applyBorder="1" applyAlignment="1">
      <alignment horizontal="left" vertical="center" wrapText="1" indent="2"/>
    </xf>
    <xf numFmtId="0" fontId="2" fillId="8" borderId="16" xfId="0" applyFont="1" applyFill="1" applyBorder="1" applyAlignment="1">
      <alignment horizontal="left" vertical="center" wrapText="1" indent="2"/>
    </xf>
    <xf numFmtId="0" fontId="4" fillId="8" borderId="16" xfId="0" applyFont="1" applyFill="1" applyBorder="1" applyAlignment="1">
      <alignment horizontal="left" vertical="center" wrapText="1" indent="1"/>
    </xf>
    <xf numFmtId="0" fontId="4" fillId="8" borderId="23" xfId="0" applyFont="1" applyFill="1" applyBorder="1" applyAlignment="1">
      <alignment horizontal="left" vertical="center" wrapText="1" indent="1"/>
    </xf>
    <xf numFmtId="0" fontId="2" fillId="8" borderId="16" xfId="0" applyFont="1" applyFill="1" applyBorder="1" applyAlignment="1">
      <alignment horizontal="left" vertical="center" wrapText="1"/>
    </xf>
    <xf numFmtId="0" fontId="0" fillId="8" borderId="0" xfId="0" applyFill="1" applyAlignment="1">
      <alignment vertical="center"/>
    </xf>
    <xf numFmtId="0" fontId="33" fillId="0" borderId="0" xfId="0" applyFont="1" applyAlignment="1">
      <alignment vertical="center"/>
    </xf>
    <xf numFmtId="0" fontId="0" fillId="0" borderId="0" xfId="0" applyAlignment="1">
      <alignment horizontal="center" vertical="center"/>
    </xf>
    <xf numFmtId="0" fontId="28" fillId="8" borderId="10" xfId="0" applyFont="1" applyFill="1" applyBorder="1" applyAlignment="1">
      <alignment horizontal="center" vertical="center"/>
    </xf>
    <xf numFmtId="0" fontId="28" fillId="0" borderId="0" xfId="0" applyFont="1" applyAlignment="1">
      <alignment horizontal="center" vertical="center"/>
    </xf>
    <xf numFmtId="0" fontId="4" fillId="0" borderId="90" xfId="0" applyFont="1" applyBorder="1" applyAlignment="1">
      <alignment horizontal="left" vertical="center"/>
    </xf>
    <xf numFmtId="0" fontId="4" fillId="0" borderId="91" xfId="0" applyFont="1" applyBorder="1" applyAlignment="1">
      <alignment horizontal="left" vertical="center"/>
    </xf>
    <xf numFmtId="174" fontId="4" fillId="6" borderId="88" xfId="0" applyNumberFormat="1" applyFont="1" applyFill="1" applyBorder="1" applyAlignment="1">
      <alignment horizontal="center" vertical="center" wrapText="1"/>
    </xf>
    <xf numFmtId="0" fontId="4" fillId="0" borderId="45" xfId="0" applyFont="1" applyBorder="1" applyAlignment="1">
      <alignment horizontal="left" vertical="center"/>
    </xf>
    <xf numFmtId="0" fontId="4" fillId="0" borderId="92" xfId="0" applyFont="1" applyBorder="1" applyAlignment="1">
      <alignment horizontal="left" vertical="center"/>
    </xf>
    <xf numFmtId="0" fontId="4" fillId="0" borderId="2" xfId="0" applyFont="1" applyBorder="1" applyAlignment="1">
      <alignment horizontal="left" vertical="center" wrapText="1"/>
    </xf>
    <xf numFmtId="0" fontId="4" fillId="0" borderId="4" xfId="0" applyFont="1" applyBorder="1" applyAlignment="1">
      <alignment vertical="center"/>
    </xf>
    <xf numFmtId="0" fontId="4" fillId="0" borderId="9" xfId="0" applyFont="1" applyBorder="1" applyAlignment="1">
      <alignment vertical="center"/>
    </xf>
    <xf numFmtId="0" fontId="4" fillId="0" borderId="50" xfId="0" applyFont="1" applyBorder="1" applyAlignment="1">
      <alignment horizontal="left" vertical="center" wrapText="1"/>
    </xf>
    <xf numFmtId="170" fontId="4" fillId="6" borderId="93" xfId="155" applyNumberFormat="1" applyFont="1" applyFill="1" applyBorder="1" applyAlignment="1">
      <alignment horizontal="center" vertical="center" wrapText="1"/>
    </xf>
    <xf numFmtId="0" fontId="1" fillId="0" borderId="3" xfId="0" applyFont="1" applyBorder="1" applyAlignment="1">
      <alignment horizontal="center" vertical="center"/>
    </xf>
    <xf numFmtId="0" fontId="0" fillId="0" borderId="9" xfId="0" applyBorder="1" applyAlignment="1">
      <alignment horizontal="center" vertical="center"/>
    </xf>
    <xf numFmtId="0" fontId="4" fillId="0" borderId="14" xfId="0" applyFont="1" applyBorder="1" applyAlignment="1">
      <alignment horizontal="left" vertical="center"/>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91" xfId="0" applyFont="1" applyBorder="1" applyAlignment="1">
      <alignment horizontal="center" vertical="center"/>
    </xf>
    <xf numFmtId="0" fontId="3" fillId="0" borderId="10" xfId="0" applyFont="1" applyBorder="1" applyAlignment="1">
      <alignment horizontal="center" vertical="center"/>
    </xf>
    <xf numFmtId="0" fontId="0" fillId="0" borderId="92" xfId="0" applyBorder="1" applyAlignment="1">
      <alignment horizontal="center" vertical="center"/>
    </xf>
    <xf numFmtId="0" fontId="2" fillId="2" borderId="0" xfId="0" applyFont="1" applyFill="1" applyAlignment="1">
      <alignment horizontal="center" vertical="center"/>
    </xf>
    <xf numFmtId="0" fontId="4" fillId="0" borderId="92" xfId="0" applyFont="1" applyBorder="1" applyAlignment="1">
      <alignment horizontal="center" vertical="center"/>
    </xf>
    <xf numFmtId="0" fontId="4" fillId="0" borderId="0" xfId="0" applyFont="1" applyAlignment="1">
      <alignment horizontal="center" vertical="center"/>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3" fillId="0" borderId="31" xfId="0" applyFont="1" applyBorder="1" applyAlignment="1">
      <alignment horizontal="left" vertical="center"/>
    </xf>
    <xf numFmtId="0" fontId="4" fillId="0" borderId="0" xfId="0" applyFont="1" applyAlignment="1">
      <alignment horizontal="left" vertical="center"/>
    </xf>
    <xf numFmtId="1" fontId="4" fillId="5" borderId="0" xfId="0" applyNumberFormat="1" applyFont="1" applyFill="1" applyAlignment="1" applyProtection="1">
      <alignment horizontal="center" vertical="center" wrapText="1"/>
      <protection locked="0"/>
    </xf>
    <xf numFmtId="0" fontId="12" fillId="0" borderId="8" xfId="0" applyFont="1" applyBorder="1" applyAlignment="1">
      <alignment vertical="center" wrapText="1"/>
    </xf>
    <xf numFmtId="0" fontId="12" fillId="0" borderId="9" xfId="0" applyFont="1" applyBorder="1" applyAlignment="1">
      <alignment vertical="center" wrapText="1"/>
    </xf>
    <xf numFmtId="0" fontId="12" fillId="0" borderId="94" xfId="0" applyFont="1" applyBorder="1" applyAlignment="1">
      <alignment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71" fontId="4" fillId="0" borderId="2" xfId="0" applyNumberFormat="1" applyFont="1" applyBorder="1" applyAlignment="1">
      <alignment horizontal="center" vertical="center" wrapText="1"/>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3" fillId="0" borderId="23" xfId="0" applyFont="1" applyBorder="1" applyAlignment="1">
      <alignment horizontal="left" vertical="center"/>
    </xf>
    <xf numFmtId="0" fontId="3" fillId="0" borderId="23" xfId="0" applyFont="1" applyBorder="1" applyAlignment="1">
      <alignment horizontal="center" vertical="center"/>
    </xf>
    <xf numFmtId="0" fontId="3" fillId="0" borderId="22" xfId="0" applyFont="1" applyBorder="1" applyAlignment="1">
      <alignment horizontal="center" vertical="center"/>
    </xf>
    <xf numFmtId="0" fontId="4" fillId="0" borderId="15" xfId="0" applyFont="1" applyBorder="1" applyAlignment="1">
      <alignment horizontal="left" vertical="center" wrapText="1" indent="1"/>
    </xf>
    <xf numFmtId="0" fontId="4" fillId="0" borderId="95" xfId="0" applyFont="1" applyBorder="1" applyAlignment="1">
      <alignment horizontal="left" vertical="center" wrapText="1" indent="1"/>
    </xf>
    <xf numFmtId="1" fontId="4" fillId="5" borderId="14" xfId="0" applyNumberFormat="1" applyFont="1" applyFill="1" applyBorder="1" applyAlignment="1" applyProtection="1">
      <alignment horizontal="center" vertical="center" wrapText="1"/>
      <protection locked="0"/>
    </xf>
    <xf numFmtId="1" fontId="4" fillId="5" borderId="6" xfId="0" applyNumberFormat="1" applyFont="1" applyFill="1" applyBorder="1" applyAlignment="1" applyProtection="1">
      <alignment horizontal="center" vertical="center" wrapText="1"/>
      <protection locked="0"/>
    </xf>
    <xf numFmtId="164" fontId="16" fillId="6" borderId="15" xfId="0" applyNumberFormat="1" applyFont="1" applyFill="1" applyBorder="1" applyAlignment="1">
      <alignment horizontal="center" vertical="center" wrapText="1"/>
    </xf>
    <xf numFmtId="0" fontId="4" fillId="14" borderId="96" xfId="0" applyFont="1" applyFill="1" applyBorder="1" applyAlignment="1">
      <alignment vertical="center" wrapText="1"/>
    </xf>
    <xf numFmtId="0" fontId="4" fillId="14" borderId="97" xfId="0" applyFont="1" applyFill="1" applyBorder="1" applyAlignment="1">
      <alignment vertical="center" wrapText="1"/>
    </xf>
    <xf numFmtId="0" fontId="4" fillId="14" borderId="88" xfId="0" applyFont="1" applyFill="1" applyBorder="1" applyAlignment="1">
      <alignment vertical="center" wrapText="1"/>
    </xf>
    <xf numFmtId="1" fontId="4" fillId="5" borderId="95" xfId="0" applyNumberFormat="1" applyFont="1" applyFill="1" applyBorder="1" applyAlignment="1" applyProtection="1">
      <alignment horizontal="center" vertical="center" wrapText="1"/>
      <protection locked="0"/>
    </xf>
    <xf numFmtId="164" fontId="16" fillId="6" borderId="95" xfId="0" applyNumberFormat="1"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2" xfId="0" applyFont="1" applyBorder="1" applyAlignment="1">
      <alignment horizontal="left" vertical="center" wrapText="1"/>
    </xf>
    <xf numFmtId="0" fontId="50" fillId="0" borderId="0" xfId="0" applyFont="1" applyAlignment="1">
      <alignment vertical="center"/>
    </xf>
    <xf numFmtId="0" fontId="2" fillId="0" borderId="0" xfId="0" applyFont="1" applyAlignment="1">
      <alignment horizontal="left" vertical="center" wrapText="1"/>
    </xf>
    <xf numFmtId="0" fontId="0" fillId="0" borderId="105" xfId="0" applyBorder="1" applyAlignment="1">
      <alignment horizontal="center" vertical="center"/>
    </xf>
    <xf numFmtId="0" fontId="2" fillId="5" borderId="105" xfId="0" applyFont="1" applyFill="1" applyBorder="1" applyAlignment="1" applyProtection="1">
      <alignment horizontal="center" vertical="center" wrapText="1"/>
      <protection locked="0"/>
    </xf>
    <xf numFmtId="0" fontId="0" fillId="0" borderId="108" xfId="0" applyBorder="1" applyAlignment="1">
      <alignment horizontal="center" vertical="center"/>
    </xf>
    <xf numFmtId="0" fontId="2" fillId="5" borderId="108" xfId="0" applyFont="1" applyFill="1" applyBorder="1" applyAlignment="1" applyProtection="1">
      <alignment horizontal="center" vertical="center" wrapText="1"/>
      <protection locked="0"/>
    </xf>
    <xf numFmtId="0" fontId="0" fillId="0" borderId="111" xfId="0" applyBorder="1" applyAlignment="1">
      <alignment horizontal="center" vertical="center"/>
    </xf>
    <xf numFmtId="0" fontId="2" fillId="5" borderId="111" xfId="0" applyFont="1" applyFill="1" applyBorder="1" applyAlignment="1" applyProtection="1">
      <alignment horizontal="center" vertical="center" wrapText="1"/>
      <protection locked="0"/>
    </xf>
    <xf numFmtId="0" fontId="19" fillId="0" borderId="0" xfId="0" applyFont="1"/>
    <xf numFmtId="0" fontId="2" fillId="2" borderId="2" xfId="0" applyFont="1" applyFill="1" applyBorder="1" applyAlignment="1">
      <alignment horizontal="left" vertical="center"/>
    </xf>
    <xf numFmtId="0" fontId="2" fillId="2" borderId="14"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29" xfId="0" applyBorder="1" applyAlignment="1">
      <alignment horizontal="center" vertical="center"/>
    </xf>
    <xf numFmtId="0" fontId="4" fillId="0" borderId="113" xfId="0" applyFont="1" applyBorder="1" applyAlignment="1">
      <alignment horizontal="left" vertical="center"/>
    </xf>
    <xf numFmtId="0" fontId="0" fillId="0" borderId="52" xfId="0" applyBorder="1" applyAlignment="1">
      <alignment horizontal="center" vertical="center"/>
    </xf>
    <xf numFmtId="0" fontId="4" fillId="0" borderId="24" xfId="0" applyFont="1" applyBorder="1" applyAlignment="1">
      <alignment horizontal="left" vertical="center"/>
    </xf>
    <xf numFmtId="0" fontId="4" fillId="0" borderId="115" xfId="0" applyFont="1" applyBorder="1" applyAlignment="1">
      <alignment horizontal="left" vertical="center" wrapText="1" indent="1"/>
    </xf>
    <xf numFmtId="1" fontId="4" fillId="5" borderId="115" xfId="0" applyNumberFormat="1" applyFont="1" applyFill="1" applyBorder="1" applyAlignment="1" applyProtection="1">
      <alignment horizontal="center" vertical="center" wrapText="1"/>
      <protection locked="0"/>
    </xf>
    <xf numFmtId="164" fontId="16" fillId="6" borderId="115"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51" xfId="0" applyFont="1" applyBorder="1" applyAlignment="1">
      <alignment horizontal="left" vertical="center"/>
    </xf>
    <xf numFmtId="0" fontId="4" fillId="0" borderId="64" xfId="0" applyFont="1" applyBorder="1" applyAlignment="1">
      <alignment horizontal="left" vertical="center"/>
    </xf>
    <xf numFmtId="0" fontId="4" fillId="0" borderId="64" xfId="0" applyFont="1" applyBorder="1" applyAlignment="1">
      <alignment horizontal="left" vertical="center" wrapText="1"/>
    </xf>
    <xf numFmtId="166" fontId="4" fillId="5" borderId="64" xfId="0" applyNumberFormat="1" applyFont="1" applyFill="1" applyBorder="1" applyAlignment="1" applyProtection="1">
      <alignment horizontal="center" vertical="center" wrapText="1"/>
      <protection locked="0"/>
    </xf>
    <xf numFmtId="0" fontId="4" fillId="6" borderId="64" xfId="0" applyFont="1" applyFill="1" applyBorder="1" applyAlignment="1">
      <alignment horizontal="center" vertical="center" wrapText="1"/>
    </xf>
    <xf numFmtId="171" fontId="4" fillId="0" borderId="64" xfId="0" applyNumberFormat="1" applyFont="1" applyBorder="1" applyAlignment="1">
      <alignment horizontal="center" vertical="center" wrapText="1"/>
    </xf>
    <xf numFmtId="0" fontId="4" fillId="0" borderId="50" xfId="0" applyFont="1" applyBorder="1" applyAlignment="1" applyProtection="1">
      <alignment horizontal="left" vertical="center" wrapText="1"/>
      <protection locked="0"/>
    </xf>
    <xf numFmtId="168" fontId="4" fillId="5" borderId="14" xfId="0" applyNumberFormat="1" applyFont="1" applyFill="1" applyBorder="1" applyAlignment="1" applyProtection="1">
      <alignment horizontal="center" vertical="center" wrapText="1"/>
      <protection locked="0"/>
    </xf>
    <xf numFmtId="168" fontId="4" fillId="5" borderId="84" xfId="0" applyNumberFormat="1" applyFont="1" applyFill="1" applyBorder="1" applyAlignment="1" applyProtection="1">
      <alignment horizontal="center" vertical="center" wrapText="1"/>
      <protection locked="0"/>
    </xf>
    <xf numFmtId="0" fontId="0" fillId="0" borderId="3" xfId="0" applyBorder="1" applyAlignment="1">
      <alignment horizontal="left" vertical="center"/>
    </xf>
    <xf numFmtId="0" fontId="4" fillId="0" borderId="3" xfId="0" applyFont="1" applyBorder="1" applyAlignment="1">
      <alignment horizontal="center" vertical="center" wrapText="1"/>
    </xf>
    <xf numFmtId="0" fontId="1" fillId="0" borderId="3" xfId="0" applyFont="1" applyBorder="1" applyAlignment="1">
      <alignment horizontal="center" vertical="center" wrapText="1"/>
    </xf>
    <xf numFmtId="1" fontId="1" fillId="0" borderId="3" xfId="0" applyNumberFormat="1" applyFont="1" applyBorder="1" applyAlignment="1">
      <alignment horizontal="center" vertical="center" wrapText="1"/>
    </xf>
    <xf numFmtId="0" fontId="0" fillId="0" borderId="8" xfId="0" applyBorder="1" applyAlignment="1">
      <alignment vertical="center"/>
    </xf>
    <xf numFmtId="1" fontId="4" fillId="5" borderId="64" xfId="0" applyNumberFormat="1" applyFont="1" applyFill="1" applyBorder="1" applyAlignment="1" applyProtection="1">
      <alignment horizontal="center" vertical="center" wrapText="1"/>
      <protection locked="0"/>
    </xf>
    <xf numFmtId="0" fontId="19" fillId="14" borderId="2" xfId="0" applyFont="1" applyFill="1" applyBorder="1" applyAlignment="1">
      <alignment horizontal="left" vertical="center"/>
    </xf>
    <xf numFmtId="0" fontId="19" fillId="14" borderId="2" xfId="0" applyFont="1" applyFill="1" applyBorder="1" applyAlignment="1">
      <alignment horizontal="center" vertical="center" wrapText="1"/>
    </xf>
    <xf numFmtId="0" fontId="19" fillId="14" borderId="2" xfId="0" applyFont="1" applyFill="1" applyBorder="1" applyAlignment="1">
      <alignment horizontal="center" vertical="center"/>
    </xf>
    <xf numFmtId="0" fontId="2" fillId="2" borderId="1" xfId="0" applyFont="1" applyFill="1" applyBorder="1" applyAlignment="1">
      <alignment horizontal="center" vertical="center"/>
    </xf>
    <xf numFmtId="0" fontId="2" fillId="14" borderId="1" xfId="0" applyFont="1" applyFill="1" applyBorder="1" applyAlignment="1">
      <alignment horizontal="center" vertical="center"/>
    </xf>
    <xf numFmtId="0" fontId="0" fillId="14" borderId="0" xfId="0" applyFill="1" applyAlignment="1">
      <alignment horizontal="center" vertical="center"/>
    </xf>
    <xf numFmtId="0" fontId="2" fillId="14" borderId="5" xfId="0" applyFont="1" applyFill="1" applyBorder="1" applyAlignment="1">
      <alignment horizontal="center" vertical="center" wrapText="1"/>
    </xf>
    <xf numFmtId="0" fontId="2" fillId="14" borderId="1" xfId="0"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14" xfId="0" applyFont="1" applyFill="1" applyBorder="1" applyAlignment="1">
      <alignment horizontal="center" vertical="center" wrapText="1"/>
    </xf>
    <xf numFmtId="0" fontId="2" fillId="14" borderId="2" xfId="0" applyFont="1" applyFill="1" applyBorder="1" applyAlignment="1">
      <alignment horizontal="center" vertical="center" wrapText="1"/>
    </xf>
    <xf numFmtId="0" fontId="1" fillId="2" borderId="1" xfId="0" applyFont="1" applyFill="1" applyBorder="1" applyAlignment="1">
      <alignment horizontal="center" vertical="center" wrapText="1"/>
    </xf>
    <xf numFmtId="1" fontId="4" fillId="5" borderId="84" xfId="0" applyNumberFormat="1" applyFont="1" applyFill="1" applyBorder="1" applyAlignment="1" applyProtection="1">
      <alignment horizontal="center" vertical="center" wrapText="1"/>
      <protection locked="0"/>
    </xf>
    <xf numFmtId="0" fontId="4" fillId="0" borderId="25" xfId="0" applyFont="1" applyBorder="1" applyAlignment="1">
      <alignment horizontal="left" vertical="center"/>
    </xf>
    <xf numFmtId="0" fontId="4" fillId="0" borderId="115" xfId="0" applyFont="1" applyBorder="1" applyAlignment="1">
      <alignment horizontal="left" vertical="center" wrapText="1"/>
    </xf>
    <xf numFmtId="0" fontId="4" fillId="0" borderId="6" xfId="0" applyFont="1" applyBorder="1" applyAlignment="1">
      <alignment horizontal="left" vertical="center"/>
    </xf>
    <xf numFmtId="0" fontId="4" fillId="0" borderId="38" xfId="0" applyFont="1" applyBorder="1" applyAlignment="1">
      <alignment horizontal="left" vertical="center" wrapText="1"/>
    </xf>
    <xf numFmtId="164" fontId="16" fillId="6" borderId="44" xfId="0" applyNumberFormat="1" applyFont="1" applyFill="1" applyBorder="1" applyAlignment="1">
      <alignment horizontal="center" vertical="center" wrapText="1"/>
    </xf>
    <xf numFmtId="0" fontId="4" fillId="0" borderId="121" xfId="0" applyFont="1" applyBorder="1" applyAlignment="1">
      <alignment horizontal="left" vertical="center" wrapText="1"/>
    </xf>
    <xf numFmtId="164" fontId="16" fillId="6" borderId="122" xfId="0" applyNumberFormat="1" applyFont="1" applyFill="1" applyBorder="1" applyAlignment="1">
      <alignment horizontal="center" vertical="center" wrapText="1"/>
    </xf>
    <xf numFmtId="0" fontId="4" fillId="0" borderId="123" xfId="0" applyFont="1" applyBorder="1" applyAlignment="1">
      <alignment horizontal="left" vertical="center" wrapText="1"/>
    </xf>
    <xf numFmtId="164" fontId="16" fillId="6" borderId="124" xfId="0" applyNumberFormat="1" applyFont="1" applyFill="1" applyBorder="1" applyAlignment="1">
      <alignment horizontal="center" vertical="center" wrapText="1"/>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1" fillId="2" borderId="5" xfId="0" applyFont="1" applyFill="1" applyBorder="1" applyAlignment="1">
      <alignment horizontal="left" vertical="center"/>
    </xf>
    <xf numFmtId="0" fontId="2" fillId="2" borderId="91" xfId="0" applyFont="1" applyFill="1" applyBorder="1" applyAlignment="1">
      <alignment horizontal="center" vertical="center" wrapText="1"/>
    </xf>
    <xf numFmtId="0" fontId="12" fillId="0" borderId="32" xfId="0" applyFont="1" applyBorder="1" applyAlignment="1">
      <alignment vertical="center" wrapText="1"/>
    </xf>
    <xf numFmtId="0" fontId="1" fillId="2" borderId="4" xfId="0" applyFont="1" applyFill="1" applyBorder="1" applyAlignment="1">
      <alignment horizontal="left" vertical="center" wrapText="1"/>
    </xf>
    <xf numFmtId="0" fontId="3" fillId="0" borderId="0" xfId="0" applyFont="1" applyAlignment="1">
      <alignment horizontal="left" vertical="center"/>
    </xf>
    <xf numFmtId="0" fontId="1" fillId="0" borderId="0" xfId="0" applyFont="1" applyAlignment="1">
      <alignment horizontal="center" vertical="center"/>
    </xf>
    <xf numFmtId="0" fontId="1" fillId="2" borderId="2" xfId="0" applyFont="1" applyFill="1" applyBorder="1" applyAlignment="1">
      <alignment horizontal="left" vertical="center" wrapText="1"/>
    </xf>
    <xf numFmtId="0" fontId="4" fillId="0" borderId="129" xfId="0" applyFont="1" applyBorder="1" applyAlignment="1">
      <alignment horizontal="left" vertical="center" wrapText="1" indent="2"/>
    </xf>
    <xf numFmtId="1" fontId="4" fillId="5" borderId="130" xfId="0" applyNumberFormat="1" applyFont="1" applyFill="1" applyBorder="1" applyAlignment="1" applyProtection="1">
      <alignment horizontal="center" vertical="center" wrapText="1"/>
      <protection locked="0"/>
    </xf>
    <xf numFmtId="0" fontId="4" fillId="0" borderId="131" xfId="0" applyFont="1" applyBorder="1" applyAlignment="1">
      <alignment horizontal="left" vertical="center" wrapText="1" indent="2"/>
    </xf>
    <xf numFmtId="1" fontId="4" fillId="5" borderId="132" xfId="0" applyNumberFormat="1" applyFont="1" applyFill="1" applyBorder="1" applyAlignment="1" applyProtection="1">
      <alignment horizontal="center" vertical="center" wrapText="1"/>
      <protection locked="0"/>
    </xf>
    <xf numFmtId="0" fontId="4" fillId="0" borderId="4" xfId="0" applyFont="1" applyBorder="1" applyAlignment="1">
      <alignment horizontal="left" vertical="center" wrapText="1" indent="2"/>
    </xf>
    <xf numFmtId="0" fontId="0" fillId="0" borderId="99" xfId="0" applyBorder="1" applyAlignment="1">
      <alignment horizontal="center" vertical="center"/>
    </xf>
    <xf numFmtId="0" fontId="3" fillId="0" borderId="17" xfId="0" applyFont="1" applyBorder="1" applyAlignment="1">
      <alignment horizontal="left" vertical="center"/>
    </xf>
    <xf numFmtId="0" fontId="0" fillId="0" borderId="134" xfId="0" applyBorder="1" applyAlignment="1">
      <alignment horizontal="center" vertical="center"/>
    </xf>
    <xf numFmtId="0" fontId="3" fillId="0" borderId="18" xfId="0" applyFont="1" applyBorder="1" applyAlignment="1">
      <alignment horizontal="left" vertical="center"/>
    </xf>
    <xf numFmtId="1" fontId="4" fillId="5" borderId="135" xfId="0" applyNumberFormat="1" applyFont="1" applyFill="1" applyBorder="1" applyAlignment="1" applyProtection="1">
      <alignment horizontal="center" vertical="center" wrapText="1"/>
      <protection locked="0"/>
    </xf>
    <xf numFmtId="0" fontId="0" fillId="0" borderId="136" xfId="0" applyBorder="1" applyAlignment="1">
      <alignment horizontal="center" vertical="center"/>
    </xf>
    <xf numFmtId="0" fontId="3" fillId="0" borderId="131" xfId="0" applyFont="1" applyBorder="1" applyAlignment="1">
      <alignment horizontal="left" vertical="center"/>
    </xf>
    <xf numFmtId="1" fontId="4" fillId="5" borderId="137"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19" fillId="0" borderId="0" xfId="0" applyFont="1" applyAlignment="1">
      <alignment horizontal="center" vertical="center"/>
    </xf>
    <xf numFmtId="1" fontId="4" fillId="5" borderId="18" xfId="0" applyNumberFormat="1" applyFont="1" applyFill="1" applyBorder="1" applyAlignment="1" applyProtection="1">
      <alignment horizontal="center" vertical="center" wrapText="1"/>
      <protection locked="0"/>
    </xf>
    <xf numFmtId="1" fontId="4" fillId="5" borderId="131" xfId="0" applyNumberFormat="1" applyFont="1" applyFill="1" applyBorder="1" applyAlignment="1" applyProtection="1">
      <alignment horizontal="center" vertical="center" wrapText="1"/>
      <protection locked="0"/>
    </xf>
    <xf numFmtId="0" fontId="3" fillId="0" borderId="0" xfId="0" applyFont="1" applyAlignment="1">
      <alignment horizontal="center" vertical="center"/>
    </xf>
    <xf numFmtId="0" fontId="3" fillId="0" borderId="29" xfId="0" applyFont="1" applyBorder="1" applyAlignment="1">
      <alignment horizontal="center" vertical="center"/>
    </xf>
    <xf numFmtId="0" fontId="4" fillId="0" borderId="13" xfId="0" applyFont="1" applyBorder="1" applyAlignment="1">
      <alignment horizontal="left" vertical="center" wrapText="1" indent="2"/>
    </xf>
    <xf numFmtId="0" fontId="4" fillId="5" borderId="12" xfId="0" applyFont="1" applyFill="1" applyBorder="1" applyAlignment="1" applyProtection="1">
      <alignment horizontal="center" vertical="center" wrapText="1"/>
      <protection locked="0"/>
    </xf>
    <xf numFmtId="0" fontId="17" fillId="0" borderId="9" xfId="0" applyFont="1" applyBorder="1" applyAlignment="1">
      <alignment vertical="center"/>
    </xf>
    <xf numFmtId="0" fontId="2" fillId="0" borderId="104" xfId="0" applyFont="1" applyBorder="1" applyAlignment="1">
      <alignment horizontal="center" vertical="center"/>
    </xf>
    <xf numFmtId="0" fontId="2" fillId="0" borderId="107" xfId="0" applyFont="1" applyBorder="1" applyAlignment="1">
      <alignment horizontal="center" vertical="center"/>
    </xf>
    <xf numFmtId="0" fontId="2" fillId="0" borderId="110" xfId="0" applyFont="1" applyBorder="1" applyAlignment="1">
      <alignment horizontal="center" vertical="center"/>
    </xf>
    <xf numFmtId="0" fontId="4" fillId="6" borderId="115" xfId="0" applyFont="1" applyFill="1" applyBorder="1" applyAlignment="1">
      <alignment horizontal="center" vertical="center" wrapText="1"/>
    </xf>
    <xf numFmtId="1" fontId="4" fillId="5" borderId="139" xfId="0" applyNumberFormat="1" applyFont="1" applyFill="1" applyBorder="1" applyAlignment="1" applyProtection="1">
      <alignment horizontal="center" vertical="center" wrapText="1"/>
      <protection locked="0"/>
    </xf>
    <xf numFmtId="0" fontId="3" fillId="0" borderId="118" xfId="0" applyFont="1" applyBorder="1" applyAlignment="1">
      <alignment horizontal="left" vertical="center"/>
    </xf>
    <xf numFmtId="0" fontId="3" fillId="0" borderId="41" xfId="0" applyFont="1" applyBorder="1" applyAlignment="1">
      <alignment horizontal="left" vertical="center"/>
    </xf>
    <xf numFmtId="0" fontId="3" fillId="0" borderId="29" xfId="0" applyFont="1" applyBorder="1" applyAlignment="1">
      <alignment horizontal="left" vertical="center"/>
    </xf>
    <xf numFmtId="0" fontId="3" fillId="0" borderId="52" xfId="0" applyFont="1" applyBorder="1" applyAlignment="1">
      <alignment horizontal="left" vertical="center"/>
    </xf>
    <xf numFmtId="0" fontId="4" fillId="0" borderId="18" xfId="0" applyFont="1" applyBorder="1" applyAlignment="1">
      <alignment horizontal="left" vertical="center" wrapText="1" indent="1"/>
    </xf>
    <xf numFmtId="0" fontId="4" fillId="0" borderId="131" xfId="0" applyFont="1" applyBorder="1" applyAlignment="1">
      <alignment horizontal="left" vertical="center" wrapText="1" indent="1"/>
    </xf>
    <xf numFmtId="0" fontId="3" fillId="8" borderId="16" xfId="0" applyFont="1" applyFill="1" applyBorder="1" applyAlignment="1">
      <alignment horizontal="left" vertical="center" wrapText="1" indent="2"/>
    </xf>
    <xf numFmtId="0" fontId="3" fillId="0" borderId="117" xfId="0" applyFont="1" applyBorder="1" applyAlignment="1">
      <alignment horizontal="left" vertical="center"/>
    </xf>
    <xf numFmtId="0" fontId="4" fillId="0" borderId="64" xfId="0" applyFont="1" applyBorder="1" applyAlignment="1">
      <alignment horizontal="left" vertical="center" wrapText="1" indent="1"/>
    </xf>
    <xf numFmtId="1" fontId="4" fillId="5" borderId="50" xfId="0" applyNumberFormat="1" applyFont="1" applyFill="1" applyBorder="1" applyAlignment="1" applyProtection="1">
      <alignment horizontal="center" vertical="center" wrapText="1"/>
      <protection locked="0"/>
    </xf>
    <xf numFmtId="164" fontId="16" fillId="6" borderId="50" xfId="0" applyNumberFormat="1" applyFont="1" applyFill="1" applyBorder="1" applyAlignment="1">
      <alignment horizontal="center" vertical="center" wrapText="1"/>
    </xf>
    <xf numFmtId="0" fontId="4" fillId="0" borderId="18" xfId="0" applyFont="1" applyBorder="1" applyAlignment="1">
      <alignment horizontal="left" vertical="center" wrapText="1"/>
    </xf>
    <xf numFmtId="0" fontId="4" fillId="0" borderId="131" xfId="0" applyFont="1" applyBorder="1" applyAlignment="1">
      <alignment horizontal="left" vertical="center" wrapText="1"/>
    </xf>
    <xf numFmtId="0" fontId="3" fillId="0" borderId="10" xfId="0" applyFont="1" applyBorder="1" applyAlignment="1">
      <alignment horizontal="left" vertical="center"/>
    </xf>
    <xf numFmtId="0" fontId="3" fillId="0" borderId="33" xfId="0" applyFont="1" applyBorder="1" applyAlignment="1">
      <alignment horizontal="left" vertical="center"/>
    </xf>
    <xf numFmtId="0" fontId="0" fillId="0" borderId="4" xfId="0" applyBorder="1" applyAlignment="1">
      <alignment horizontal="center" vertical="center"/>
    </xf>
    <xf numFmtId="171" fontId="4" fillId="0" borderId="3" xfId="0" applyNumberFormat="1" applyFont="1" applyBorder="1" applyAlignment="1">
      <alignment horizontal="center" vertical="center" wrapText="1"/>
    </xf>
    <xf numFmtId="164" fontId="16" fillId="6" borderId="15" xfId="0" quotePrefix="1" applyNumberFormat="1" applyFont="1" applyFill="1" applyBorder="1" applyAlignment="1">
      <alignment horizontal="center" vertical="center" wrapText="1"/>
    </xf>
    <xf numFmtId="0" fontId="4" fillId="6" borderId="84" xfId="0" applyFont="1" applyFill="1" applyBorder="1" applyAlignment="1">
      <alignment horizontal="center" vertical="center" wrapText="1"/>
    </xf>
    <xf numFmtId="171" fontId="4" fillId="0" borderId="117" xfId="0" applyNumberFormat="1" applyFont="1" applyBorder="1" applyAlignment="1">
      <alignment horizontal="center" vertical="center" wrapText="1"/>
    </xf>
    <xf numFmtId="1" fontId="1" fillId="0" borderId="130" xfId="0" applyNumberFormat="1" applyFont="1" applyBorder="1" applyAlignment="1">
      <alignment horizontal="center" vertical="center" wrapText="1"/>
    </xf>
    <xf numFmtId="165" fontId="7" fillId="0" borderId="140" xfId="0" applyNumberFormat="1" applyFont="1" applyBorder="1" applyAlignment="1" applyProtection="1">
      <alignment horizontal="left" vertical="center" wrapText="1"/>
      <protection locked="0"/>
    </xf>
    <xf numFmtId="171" fontId="1" fillId="0" borderId="4" xfId="0" applyNumberFormat="1" applyFont="1" applyBorder="1" applyAlignment="1">
      <alignment horizontal="center" vertical="center" wrapText="1"/>
    </xf>
    <xf numFmtId="0" fontId="35" fillId="15" borderId="0" xfId="0" applyFont="1" applyFill="1" applyAlignment="1">
      <alignment vertical="center"/>
    </xf>
    <xf numFmtId="0" fontId="4" fillId="6" borderId="23" xfId="0" applyFont="1" applyFill="1" applyBorder="1" applyAlignment="1">
      <alignment horizontal="center" vertical="center" wrapText="1"/>
    </xf>
    <xf numFmtId="0" fontId="4" fillId="6" borderId="51" xfId="0" applyFont="1" applyFill="1" applyBorder="1" applyAlignment="1">
      <alignment horizontal="center" vertical="center" wrapText="1"/>
    </xf>
    <xf numFmtId="1" fontId="4" fillId="5" borderId="142" xfId="0" applyNumberFormat="1" applyFont="1" applyFill="1" applyBorder="1" applyAlignment="1" applyProtection="1">
      <alignment horizontal="center" vertical="center" wrapText="1"/>
      <protection locked="0"/>
    </xf>
    <xf numFmtId="0" fontId="4" fillId="0" borderId="23" xfId="0" applyFont="1" applyBorder="1" applyAlignment="1">
      <alignment horizontal="left" vertical="center" wrapText="1" indent="2"/>
    </xf>
    <xf numFmtId="1" fontId="4" fillId="5" borderId="125" xfId="0" applyNumberFormat="1" applyFont="1" applyFill="1" applyBorder="1" applyAlignment="1" applyProtection="1">
      <alignment horizontal="center" vertical="center" wrapText="1"/>
      <protection locked="0"/>
    </xf>
    <xf numFmtId="164" fontId="4" fillId="6" borderId="1" xfId="0" applyNumberFormat="1" applyFont="1" applyFill="1" applyBorder="1" applyAlignment="1">
      <alignment horizontal="center" vertical="center" wrapText="1"/>
    </xf>
    <xf numFmtId="164" fontId="4" fillId="6" borderId="4" xfId="0" applyNumberFormat="1" applyFont="1" applyFill="1" applyBorder="1" applyAlignment="1">
      <alignment horizontal="center" vertical="center" wrapText="1"/>
    </xf>
    <xf numFmtId="164" fontId="4" fillId="6" borderId="11" xfId="0" applyNumberFormat="1" applyFont="1" applyFill="1" applyBorder="1" applyAlignment="1">
      <alignment horizontal="center" vertical="center" wrapText="1"/>
    </xf>
    <xf numFmtId="164" fontId="4" fillId="6" borderId="12" xfId="0" applyNumberFormat="1" applyFont="1" applyFill="1" applyBorder="1" applyAlignment="1">
      <alignment horizontal="center" vertical="center" wrapText="1"/>
    </xf>
    <xf numFmtId="171" fontId="2" fillId="0" borderId="23" xfId="0" applyNumberFormat="1" applyFont="1" applyBorder="1" applyAlignment="1">
      <alignment horizontal="center" vertical="center"/>
    </xf>
    <xf numFmtId="171" fontId="4" fillId="0" borderId="34" xfId="0" applyNumberFormat="1" applyFont="1" applyBorder="1" applyAlignment="1">
      <alignment horizontal="center" vertical="center" wrapText="1"/>
    </xf>
    <xf numFmtId="0" fontId="4" fillId="14" borderId="116" xfId="0" applyFont="1" applyFill="1" applyBorder="1" applyAlignment="1">
      <alignment vertical="center" wrapText="1"/>
    </xf>
    <xf numFmtId="0" fontId="4" fillId="14" borderId="114" xfId="0" applyFont="1" applyFill="1" applyBorder="1" applyAlignment="1">
      <alignment vertical="center" wrapText="1"/>
    </xf>
    <xf numFmtId="0" fontId="4" fillId="14" borderId="102" xfId="0" applyFont="1" applyFill="1" applyBorder="1" applyAlignment="1">
      <alignment vertical="center" wrapText="1"/>
    </xf>
    <xf numFmtId="0" fontId="4" fillId="14" borderId="103" xfId="0" applyFont="1" applyFill="1" applyBorder="1" applyAlignment="1">
      <alignment vertical="center" wrapText="1"/>
    </xf>
    <xf numFmtId="171" fontId="4" fillId="0" borderId="35" xfId="0" applyNumberFormat="1" applyFont="1" applyBorder="1" applyAlignment="1">
      <alignment horizontal="center" vertical="center" wrapText="1"/>
    </xf>
    <xf numFmtId="171" fontId="1" fillId="0" borderId="5" xfId="0" applyNumberFormat="1" applyFont="1" applyBorder="1" applyAlignment="1">
      <alignment horizontal="center" vertical="center" wrapText="1"/>
    </xf>
    <xf numFmtId="0" fontId="7" fillId="0" borderId="1" xfId="0" applyFont="1" applyBorder="1" applyAlignment="1" applyProtection="1">
      <alignment vertical="center" wrapText="1"/>
      <protection locked="0"/>
    </xf>
    <xf numFmtId="0" fontId="4" fillId="6" borderId="5" xfId="0" applyFont="1" applyFill="1" applyBorder="1" applyAlignment="1">
      <alignment horizontal="center" vertical="center" wrapText="1"/>
    </xf>
    <xf numFmtId="164" fontId="16" fillId="6" borderId="4" xfId="0" applyNumberFormat="1" applyFont="1" applyFill="1" applyBorder="1" applyAlignment="1">
      <alignment horizontal="center" vertical="center" wrapText="1"/>
    </xf>
    <xf numFmtId="171" fontId="4" fillId="0" borderId="65" xfId="0" applyNumberFormat="1" applyFont="1" applyBorder="1" applyAlignment="1">
      <alignment horizontal="center" vertical="center" wrapText="1"/>
    </xf>
    <xf numFmtId="0" fontId="4" fillId="5" borderId="24" xfId="0" applyFont="1" applyFill="1" applyBorder="1" applyAlignment="1" applyProtection="1">
      <alignment horizontal="center" vertical="center" wrapText="1"/>
      <protection locked="0"/>
    </xf>
    <xf numFmtId="1" fontId="4" fillId="5" borderId="156" xfId="0" applyNumberFormat="1" applyFont="1" applyFill="1" applyBorder="1" applyAlignment="1" applyProtection="1">
      <alignment horizontal="center" vertical="center" wrapText="1"/>
      <protection locked="0"/>
    </xf>
    <xf numFmtId="1" fontId="4" fillId="5" borderId="157" xfId="0" applyNumberFormat="1" applyFont="1" applyFill="1" applyBorder="1" applyAlignment="1" applyProtection="1">
      <alignment horizontal="center" vertical="center" wrapText="1"/>
      <protection locked="0"/>
    </xf>
    <xf numFmtId="164" fontId="16" fillId="6" borderId="89" xfId="0" applyNumberFormat="1" applyFont="1" applyFill="1" applyBorder="1" applyAlignment="1">
      <alignment horizontal="center" vertical="center" wrapText="1"/>
    </xf>
    <xf numFmtId="164" fontId="16" fillId="6" borderId="158" xfId="0" applyNumberFormat="1" applyFont="1" applyFill="1" applyBorder="1" applyAlignment="1">
      <alignment horizontal="center" vertical="center" wrapText="1"/>
    </xf>
    <xf numFmtId="0" fontId="2" fillId="0" borderId="23" xfId="0" applyFont="1" applyBorder="1" applyAlignment="1" applyProtection="1">
      <alignment vertical="center"/>
      <protection locked="0"/>
    </xf>
    <xf numFmtId="171" fontId="4" fillId="0" borderId="23" xfId="0" applyNumberFormat="1" applyFont="1" applyBorder="1" applyAlignment="1">
      <alignment horizontal="center" vertical="center" wrapText="1"/>
    </xf>
    <xf numFmtId="171" fontId="2" fillId="0" borderId="31" xfId="0" applyNumberFormat="1" applyFont="1" applyBorder="1" applyAlignment="1">
      <alignment horizontal="center" vertical="center"/>
    </xf>
    <xf numFmtId="9" fontId="0" fillId="0" borderId="0" xfId="0" applyNumberFormat="1" applyAlignment="1">
      <alignment vertical="center"/>
    </xf>
    <xf numFmtId="175" fontId="0" fillId="0" borderId="0" xfId="0" applyNumberFormat="1" applyAlignment="1">
      <alignment vertical="center"/>
    </xf>
    <xf numFmtId="176" fontId="0" fillId="0" borderId="0" xfId="0" applyNumberFormat="1" applyAlignment="1">
      <alignment vertical="center"/>
    </xf>
    <xf numFmtId="0" fontId="51" fillId="0" borderId="0" xfId="0" applyFont="1"/>
    <xf numFmtId="0" fontId="52" fillId="0" borderId="0" xfId="0" applyFont="1"/>
    <xf numFmtId="10" fontId="52" fillId="0" borderId="0" xfId="0" applyNumberFormat="1" applyFont="1"/>
    <xf numFmtId="10" fontId="0" fillId="0" borderId="0" xfId="0" applyNumberFormat="1" applyAlignment="1">
      <alignment vertical="center"/>
    </xf>
    <xf numFmtId="0" fontId="4" fillId="0" borderId="129" xfId="0" applyFont="1" applyBorder="1" applyAlignment="1">
      <alignment horizontal="left" vertical="center" wrapText="1"/>
    </xf>
    <xf numFmtId="1" fontId="4" fillId="5" borderId="129" xfId="0" applyNumberFormat="1" applyFont="1" applyFill="1" applyBorder="1" applyAlignment="1" applyProtection="1">
      <alignment horizontal="center" vertical="center" wrapText="1"/>
      <protection locked="0"/>
    </xf>
    <xf numFmtId="0" fontId="2" fillId="0" borderId="159" xfId="0" applyFont="1" applyBorder="1" applyAlignment="1">
      <alignment vertical="center" wrapText="1"/>
    </xf>
    <xf numFmtId="0" fontId="4" fillId="14" borderId="134" xfId="0" applyFont="1" applyFill="1" applyBorder="1" applyAlignment="1">
      <alignment vertical="center" wrapText="1"/>
    </xf>
    <xf numFmtId="0" fontId="4" fillId="14" borderId="87" xfId="0" applyFont="1" applyFill="1" applyBorder="1" applyAlignment="1">
      <alignment vertical="center" wrapText="1"/>
    </xf>
    <xf numFmtId="1" fontId="2" fillId="5" borderId="18" xfId="0" applyNumberFormat="1" applyFont="1" applyFill="1" applyBorder="1" applyAlignment="1" applyProtection="1">
      <alignment horizontal="center" vertical="center" wrapText="1"/>
      <protection locked="0"/>
    </xf>
    <xf numFmtId="0" fontId="4" fillId="0" borderId="14" xfId="0" applyFont="1" applyBorder="1" applyAlignment="1">
      <alignment horizontal="center" vertical="center"/>
    </xf>
    <xf numFmtId="0" fontId="4" fillId="0" borderId="6" xfId="0" applyFont="1" applyBorder="1" applyAlignment="1">
      <alignment horizontal="center" vertical="center"/>
    </xf>
    <xf numFmtId="0" fontId="4" fillId="0" borderId="133" xfId="0" applyFont="1" applyBorder="1" applyAlignment="1">
      <alignment horizontal="left" vertical="center" wrapText="1"/>
    </xf>
    <xf numFmtId="0" fontId="4" fillId="0" borderId="121" xfId="0" applyFont="1" applyBorder="1" applyAlignment="1">
      <alignment horizontal="left" vertical="center" wrapText="1" indent="1"/>
    </xf>
    <xf numFmtId="0" fontId="4" fillId="0" borderId="123" xfId="0" applyFont="1" applyBorder="1" applyAlignment="1">
      <alignment horizontal="left" vertical="center" wrapText="1" indent="1"/>
    </xf>
    <xf numFmtId="166" fontId="4" fillId="5" borderId="5" xfId="0" applyNumberFormat="1" applyFont="1" applyFill="1" applyBorder="1" applyAlignment="1" applyProtection="1">
      <alignment horizontal="center" vertical="center" wrapText="1"/>
      <protection locked="0"/>
    </xf>
    <xf numFmtId="1" fontId="4" fillId="5" borderId="160" xfId="0" applyNumberFormat="1" applyFont="1" applyFill="1" applyBorder="1" applyAlignment="1" applyProtection="1">
      <alignment horizontal="center" vertical="center" wrapText="1"/>
      <protection locked="0"/>
    </xf>
    <xf numFmtId="164" fontId="16" fillId="6" borderId="161" xfId="0" applyNumberFormat="1" applyFont="1" applyFill="1" applyBorder="1" applyAlignment="1">
      <alignment horizontal="center" vertical="center" wrapText="1"/>
    </xf>
    <xf numFmtId="168" fontId="4" fillId="5" borderId="132" xfId="0" applyNumberFormat="1" applyFont="1" applyFill="1" applyBorder="1" applyAlignment="1" applyProtection="1">
      <alignment horizontal="center" vertical="center" wrapText="1"/>
      <protection locked="0"/>
    </xf>
    <xf numFmtId="0" fontId="3" fillId="0" borderId="6" xfId="0" applyFont="1" applyBorder="1" applyAlignment="1">
      <alignment horizontal="left" vertical="center"/>
    </xf>
    <xf numFmtId="0" fontId="4" fillId="0" borderId="23" xfId="0" applyFont="1" applyBorder="1" applyAlignment="1">
      <alignment horizontal="left" vertical="center" wrapText="1"/>
    </xf>
    <xf numFmtId="1" fontId="4" fillId="5" borderId="163" xfId="0" applyNumberFormat="1" applyFont="1" applyFill="1" applyBorder="1" applyAlignment="1" applyProtection="1">
      <alignment horizontal="center" vertical="center" wrapText="1"/>
      <protection locked="0"/>
    </xf>
    <xf numFmtId="164" fontId="16" fillId="6" borderId="164" xfId="0" applyNumberFormat="1" applyFont="1" applyFill="1" applyBorder="1" applyAlignment="1">
      <alignment horizontal="center" vertical="center" wrapText="1"/>
    </xf>
    <xf numFmtId="0" fontId="4" fillId="0" borderId="162" xfId="0" applyFont="1" applyBorder="1" applyAlignment="1">
      <alignment horizontal="left" vertical="center" wrapText="1" indent="2"/>
    </xf>
    <xf numFmtId="0" fontId="28" fillId="4" borderId="4" xfId="0" applyFont="1" applyFill="1" applyBorder="1" applyAlignment="1">
      <alignment vertical="center" wrapText="1"/>
    </xf>
    <xf numFmtId="0" fontId="0" fillId="0" borderId="0" xfId="0" applyAlignment="1">
      <alignment wrapText="1"/>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2" fillId="0" borderId="4" xfId="0" applyFont="1" applyBorder="1" applyAlignment="1" applyProtection="1">
      <alignment horizontal="center" vertical="center"/>
      <protection locked="0"/>
    </xf>
    <xf numFmtId="15" fontId="2" fillId="0" borderId="4" xfId="0" applyNumberFormat="1" applyFont="1" applyBorder="1" applyAlignment="1" applyProtection="1">
      <alignment horizontal="center" vertical="center"/>
      <protection locked="0"/>
    </xf>
    <xf numFmtId="0" fontId="23" fillId="0" borderId="0" xfId="0" applyFont="1" applyAlignment="1">
      <alignment horizontal="center" vertical="center"/>
    </xf>
    <xf numFmtId="0" fontId="13" fillId="16" borderId="57" xfId="0" applyFont="1" applyFill="1" applyBorder="1" applyAlignment="1">
      <alignment vertical="center"/>
    </xf>
    <xf numFmtId="0" fontId="13" fillId="16" borderId="58" xfId="0" applyFont="1" applyFill="1" applyBorder="1" applyAlignment="1">
      <alignment vertical="center"/>
    </xf>
    <xf numFmtId="170" fontId="13" fillId="16" borderId="58" xfId="155" applyNumberFormat="1" applyFont="1" applyFill="1" applyBorder="1" applyAlignment="1">
      <alignment vertical="center"/>
    </xf>
    <xf numFmtId="0" fontId="13" fillId="16" borderId="59" xfId="0" applyFont="1" applyFill="1" applyBorder="1" applyAlignment="1">
      <alignment vertical="center"/>
    </xf>
    <xf numFmtId="172" fontId="25" fillId="16" borderId="58" xfId="0" applyNumberFormat="1" applyFont="1" applyFill="1" applyBorder="1" applyAlignment="1">
      <alignment vertical="center"/>
    </xf>
    <xf numFmtId="0" fontId="13" fillId="16" borderId="58" xfId="0" applyFont="1" applyFill="1" applyBorder="1" applyAlignment="1">
      <alignment horizontal="right" vertical="center"/>
    </xf>
    <xf numFmtId="170" fontId="1" fillId="16" borderId="59" xfId="155" applyNumberFormat="1" applyFont="1" applyFill="1" applyBorder="1" applyAlignment="1">
      <alignment horizontal="center" vertical="center"/>
    </xf>
    <xf numFmtId="0" fontId="13" fillId="16" borderId="60" xfId="0" applyFont="1" applyFill="1" applyBorder="1" applyAlignment="1">
      <alignment horizontal="center" vertical="center"/>
    </xf>
    <xf numFmtId="0" fontId="13" fillId="16" borderId="61" xfId="0" applyFont="1" applyFill="1" applyBorder="1" applyAlignment="1">
      <alignment horizontal="center" vertical="center"/>
    </xf>
    <xf numFmtId="0" fontId="13" fillId="16" borderId="61" xfId="0" applyFont="1" applyFill="1" applyBorder="1" applyAlignment="1">
      <alignment vertical="center"/>
    </xf>
    <xf numFmtId="0" fontId="25" fillId="16" borderId="61" xfId="0" applyFont="1" applyFill="1" applyBorder="1" applyAlignment="1">
      <alignment vertical="center"/>
    </xf>
    <xf numFmtId="169" fontId="18" fillId="16" borderId="61" xfId="0" applyNumberFormat="1" applyFont="1" applyFill="1" applyBorder="1" applyAlignment="1">
      <alignment horizontal="center" vertical="center"/>
    </xf>
    <xf numFmtId="169" fontId="18" fillId="16" borderId="61" xfId="0" applyNumberFormat="1" applyFont="1" applyFill="1" applyBorder="1" applyAlignment="1">
      <alignment horizontal="right" vertical="center"/>
    </xf>
    <xf numFmtId="0" fontId="19" fillId="16" borderId="61" xfId="0" applyFont="1" applyFill="1" applyBorder="1" applyAlignment="1">
      <alignment horizontal="right" vertical="center"/>
    </xf>
    <xf numFmtId="171" fontId="25" fillId="16" borderId="61" xfId="0" applyNumberFormat="1" applyFont="1" applyFill="1" applyBorder="1" applyAlignment="1">
      <alignment horizontal="center" vertical="center"/>
    </xf>
    <xf numFmtId="170" fontId="13" fillId="16" borderId="62" xfId="155" applyNumberFormat="1" applyFont="1" applyFill="1" applyBorder="1" applyAlignment="1">
      <alignment horizontal="center" vertical="center"/>
    </xf>
    <xf numFmtId="0" fontId="13" fillId="16" borderId="57" xfId="0" applyFont="1" applyFill="1" applyBorder="1" applyAlignment="1">
      <alignment horizontal="center" vertical="center"/>
    </xf>
    <xf numFmtId="0" fontId="13" fillId="16" borderId="58" xfId="0" applyFont="1" applyFill="1" applyBorder="1" applyAlignment="1">
      <alignment horizontal="center" vertical="center"/>
    </xf>
    <xf numFmtId="0" fontId="25" fillId="16" borderId="58" xfId="0" applyFont="1" applyFill="1" applyBorder="1" applyAlignment="1">
      <alignment vertical="center"/>
    </xf>
    <xf numFmtId="169" fontId="18" fillId="16" borderId="58" xfId="0" applyNumberFormat="1" applyFont="1" applyFill="1" applyBorder="1" applyAlignment="1">
      <alignment horizontal="center" vertical="center"/>
    </xf>
    <xf numFmtId="169" fontId="18" fillId="16" borderId="58" xfId="0" applyNumberFormat="1" applyFont="1" applyFill="1" applyBorder="1" applyAlignment="1">
      <alignment horizontal="right" vertical="center"/>
    </xf>
    <xf numFmtId="0" fontId="19" fillId="16" borderId="58" xfId="0" applyFont="1" applyFill="1" applyBorder="1" applyAlignment="1">
      <alignment horizontal="right" vertical="center"/>
    </xf>
    <xf numFmtId="171" fontId="25" fillId="16" borderId="58" xfId="0" applyNumberFormat="1" applyFont="1" applyFill="1" applyBorder="1" applyAlignment="1">
      <alignment horizontal="center" vertical="center"/>
    </xf>
    <xf numFmtId="170" fontId="13" fillId="16" borderId="59" xfId="155" applyNumberFormat="1" applyFont="1" applyFill="1" applyBorder="1" applyAlignment="1">
      <alignment horizontal="center" vertical="center"/>
    </xf>
    <xf numFmtId="0" fontId="12" fillId="0" borderId="8" xfId="0" applyFont="1" applyBorder="1" applyAlignment="1">
      <alignment horizontal="left" vertical="center"/>
    </xf>
    <xf numFmtId="0" fontId="2" fillId="0" borderId="22" xfId="0" applyFont="1" applyBorder="1" applyAlignment="1">
      <alignment horizontal="center" vertical="center" wrapText="1"/>
    </xf>
    <xf numFmtId="170" fontId="2" fillId="0" borderId="9" xfId="155" applyNumberFormat="1" applyFont="1" applyBorder="1" applyAlignment="1">
      <alignment horizontal="center" vertical="center"/>
    </xf>
    <xf numFmtId="1" fontId="2" fillId="0" borderId="9" xfId="0" applyNumberFormat="1" applyFont="1" applyBorder="1" applyAlignment="1">
      <alignment horizontal="center" vertical="center"/>
    </xf>
    <xf numFmtId="164" fontId="2" fillId="0" borderId="10" xfId="0" applyNumberFormat="1" applyFont="1" applyBorder="1" applyAlignment="1">
      <alignment horizontal="center" vertical="center"/>
    </xf>
    <xf numFmtId="0" fontId="12" fillId="0" borderId="10" xfId="0" applyFont="1" applyBorder="1"/>
    <xf numFmtId="9" fontId="12" fillId="0" borderId="4" xfId="155" applyFont="1" applyBorder="1" applyAlignment="1">
      <alignment horizontal="center" vertical="center"/>
    </xf>
    <xf numFmtId="0" fontId="12" fillId="0" borderId="0" xfId="0" applyFont="1"/>
    <xf numFmtId="9" fontId="12" fillId="0" borderId="10" xfId="155" applyFont="1" applyBorder="1" applyAlignment="1">
      <alignment horizontal="center" vertical="center"/>
    </xf>
    <xf numFmtId="0" fontId="2" fillId="14" borderId="30" xfId="0" applyFont="1" applyFill="1" applyBorder="1" applyAlignment="1">
      <alignment horizontal="center" vertical="center" wrapText="1"/>
    </xf>
    <xf numFmtId="0" fontId="2" fillId="14" borderId="33" xfId="0" applyFont="1" applyFill="1" applyBorder="1" applyAlignment="1">
      <alignment horizontal="center" vertical="center" wrapText="1"/>
    </xf>
    <xf numFmtId="0" fontId="2" fillId="14" borderId="22" xfId="0" applyFont="1" applyFill="1" applyBorder="1" applyAlignment="1">
      <alignment horizontal="center" vertical="center" wrapText="1"/>
    </xf>
    <xf numFmtId="0" fontId="2" fillId="14" borderId="8" xfId="0" applyFont="1" applyFill="1" applyBorder="1" applyAlignment="1">
      <alignment horizontal="center" vertical="center"/>
    </xf>
    <xf numFmtId="0" fontId="2" fillId="14" borderId="9" xfId="0" applyFont="1" applyFill="1" applyBorder="1" applyAlignment="1">
      <alignment vertical="center"/>
    </xf>
    <xf numFmtId="170" fontId="2" fillId="14" borderId="9" xfId="155" applyNumberFormat="1" applyFont="1" applyFill="1" applyBorder="1" applyAlignment="1">
      <alignment horizontal="center" vertical="center"/>
    </xf>
    <xf numFmtId="1" fontId="2" fillId="14" borderId="9" xfId="0" applyNumberFormat="1" applyFont="1" applyFill="1" applyBorder="1" applyAlignment="1">
      <alignment horizontal="center" vertical="center"/>
    </xf>
    <xf numFmtId="164" fontId="2" fillId="14" borderId="10" xfId="0" applyNumberFormat="1" applyFont="1" applyFill="1" applyBorder="1" applyAlignment="1">
      <alignment horizontal="center" vertical="center"/>
    </xf>
    <xf numFmtId="0" fontId="2" fillId="14" borderId="4" xfId="0" applyFont="1" applyFill="1" applyBorder="1" applyAlignment="1">
      <alignment horizontal="center" vertical="center"/>
    </xf>
    <xf numFmtId="0" fontId="2" fillId="14" borderId="31" xfId="0" applyFont="1" applyFill="1" applyBorder="1" applyAlignment="1">
      <alignment horizontal="center" vertical="center"/>
    </xf>
    <xf numFmtId="0" fontId="2" fillId="14" borderId="0" xfId="0" applyFont="1" applyFill="1" applyAlignment="1">
      <alignment vertical="center"/>
    </xf>
    <xf numFmtId="170" fontId="2" fillId="14" borderId="31" xfId="155" applyNumberFormat="1" applyFont="1" applyFill="1" applyBorder="1" applyAlignment="1">
      <alignment horizontal="center" vertical="center"/>
    </xf>
    <xf numFmtId="170" fontId="2" fillId="14" borderId="34" xfId="155" applyNumberFormat="1" applyFont="1" applyFill="1" applyBorder="1" applyAlignment="1">
      <alignment horizontal="center" vertical="center"/>
    </xf>
    <xf numFmtId="1" fontId="2" fillId="14" borderId="16" xfId="0" applyNumberFormat="1" applyFont="1" applyFill="1" applyBorder="1" applyAlignment="1">
      <alignment horizontal="center" vertical="center"/>
    </xf>
    <xf numFmtId="164" fontId="2" fillId="14" borderId="16" xfId="0" applyNumberFormat="1" applyFont="1" applyFill="1" applyBorder="1" applyAlignment="1">
      <alignment horizontal="center" vertical="center"/>
    </xf>
    <xf numFmtId="0" fontId="2" fillId="14" borderId="22" xfId="0" applyFont="1" applyFill="1" applyBorder="1" applyAlignment="1">
      <alignment horizontal="center" vertical="center"/>
    </xf>
    <xf numFmtId="0" fontId="2" fillId="14" borderId="16" xfId="0" applyFont="1" applyFill="1" applyBorder="1" applyAlignment="1">
      <alignment horizontal="center" vertical="center"/>
    </xf>
    <xf numFmtId="0" fontId="2" fillId="14" borderId="32" xfId="0" applyFont="1" applyFill="1" applyBorder="1" applyAlignment="1">
      <alignment horizontal="center" vertical="center"/>
    </xf>
    <xf numFmtId="0" fontId="2" fillId="14" borderId="52" xfId="0" applyFont="1" applyFill="1" applyBorder="1" applyAlignment="1">
      <alignment vertical="center"/>
    </xf>
    <xf numFmtId="170" fontId="2" fillId="14" borderId="32" xfId="155" applyNumberFormat="1" applyFont="1" applyFill="1" applyBorder="1" applyAlignment="1">
      <alignment horizontal="center" vertical="center"/>
    </xf>
    <xf numFmtId="170" fontId="2" fillId="14" borderId="35" xfId="155" applyNumberFormat="1" applyFont="1" applyFill="1" applyBorder="1" applyAlignment="1">
      <alignment horizontal="center" vertical="center"/>
    </xf>
    <xf numFmtId="1" fontId="2" fillId="14" borderId="23" xfId="0" applyNumberFormat="1" applyFont="1" applyFill="1" applyBorder="1" applyAlignment="1">
      <alignment horizontal="center" vertical="center"/>
    </xf>
    <xf numFmtId="164" fontId="2" fillId="14" borderId="23" xfId="0" applyNumberFormat="1" applyFont="1" applyFill="1" applyBorder="1" applyAlignment="1">
      <alignment horizontal="center" vertical="center"/>
    </xf>
    <xf numFmtId="0" fontId="2" fillId="14" borderId="23" xfId="0" applyFont="1" applyFill="1" applyBorder="1" applyAlignment="1">
      <alignment horizontal="center" vertical="center"/>
    </xf>
    <xf numFmtId="1" fontId="1" fillId="14" borderId="4" xfId="0" applyNumberFormat="1" applyFont="1" applyFill="1" applyBorder="1" applyAlignment="1">
      <alignment horizontal="center" vertical="center"/>
    </xf>
    <xf numFmtId="0" fontId="2" fillId="14" borderId="0" xfId="0" applyFont="1" applyFill="1" applyAlignment="1">
      <alignment horizontal="center" vertical="center"/>
    </xf>
    <xf numFmtId="0" fontId="2" fillId="14" borderId="30" xfId="0" applyFont="1" applyFill="1" applyBorder="1" applyAlignment="1">
      <alignment horizontal="center" vertical="center"/>
    </xf>
    <xf numFmtId="0" fontId="2" fillId="14" borderId="29" xfId="0" applyFont="1" applyFill="1" applyBorder="1" applyAlignment="1">
      <alignment vertical="center"/>
    </xf>
    <xf numFmtId="1" fontId="2" fillId="14" borderId="22" xfId="0" applyNumberFormat="1" applyFont="1" applyFill="1" applyBorder="1" applyAlignment="1">
      <alignment horizontal="center" vertical="center"/>
    </xf>
    <xf numFmtId="164" fontId="2" fillId="14" borderId="22" xfId="0" applyNumberFormat="1" applyFont="1" applyFill="1" applyBorder="1" applyAlignment="1">
      <alignment horizontal="center" vertical="center"/>
    </xf>
    <xf numFmtId="0" fontId="12" fillId="14" borderId="8" xfId="0" applyFont="1" applyFill="1" applyBorder="1" applyAlignment="1">
      <alignment horizontal="left" vertical="center"/>
    </xf>
    <xf numFmtId="0" fontId="12" fillId="14" borderId="10" xfId="0" applyFont="1" applyFill="1" applyBorder="1"/>
    <xf numFmtId="9" fontId="12" fillId="14" borderId="4" xfId="155" applyFont="1" applyFill="1" applyBorder="1" applyAlignment="1">
      <alignment horizontal="center" vertical="center"/>
    </xf>
    <xf numFmtId="9" fontId="12" fillId="14" borderId="10" xfId="155" applyFont="1" applyFill="1" applyBorder="1" applyAlignment="1">
      <alignment horizontal="center" vertical="center"/>
    </xf>
    <xf numFmtId="0" fontId="13" fillId="17" borderId="57" xfId="0" applyFont="1" applyFill="1" applyBorder="1" applyAlignment="1">
      <alignment vertical="center"/>
    </xf>
    <xf numFmtId="0" fontId="13" fillId="17" borderId="58" xfId="0" applyFont="1" applyFill="1" applyBorder="1" applyAlignment="1">
      <alignment vertical="center"/>
    </xf>
    <xf numFmtId="170" fontId="13" fillId="17" borderId="58" xfId="155" applyNumberFormat="1" applyFont="1" applyFill="1" applyBorder="1" applyAlignment="1">
      <alignment vertical="center"/>
    </xf>
    <xf numFmtId="0" fontId="13" fillId="17" borderId="59" xfId="0" applyFont="1" applyFill="1" applyBorder="1" applyAlignment="1">
      <alignment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1" fontId="1" fillId="0" borderId="10" xfId="0" applyNumberFormat="1" applyFont="1" applyBorder="1" applyAlignment="1">
      <alignment horizontal="center" vertical="center"/>
    </xf>
    <xf numFmtId="1" fontId="19" fillId="0" borderId="10" xfId="0" applyNumberFormat="1"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170" fontId="2" fillId="14" borderId="30" xfId="155" applyNumberFormat="1" applyFont="1" applyFill="1" applyBorder="1" applyAlignment="1">
      <alignment horizontal="center" vertical="center"/>
    </xf>
    <xf numFmtId="0" fontId="2" fillId="14" borderId="35" xfId="0" applyFont="1" applyFill="1" applyBorder="1" applyAlignment="1">
      <alignment horizontal="center" vertical="center"/>
    </xf>
    <xf numFmtId="0" fontId="2" fillId="14" borderId="33" xfId="0" applyFont="1" applyFill="1" applyBorder="1" applyAlignment="1">
      <alignment horizontal="center" vertical="center"/>
    </xf>
    <xf numFmtId="164" fontId="1" fillId="14" borderId="4" xfId="0" applyNumberFormat="1" applyFont="1" applyFill="1" applyBorder="1" applyAlignment="1">
      <alignment horizontal="center" vertical="center"/>
    </xf>
    <xf numFmtId="164" fontId="1" fillId="0" borderId="4" xfId="0" applyNumberFormat="1" applyFont="1" applyBorder="1" applyAlignment="1">
      <alignment horizontal="center" vertical="center"/>
    </xf>
    <xf numFmtId="0" fontId="2" fillId="0" borderId="22" xfId="0" applyFont="1" applyBorder="1" applyAlignment="1" applyProtection="1">
      <alignment horizontal="left" vertical="center"/>
      <protection locked="0"/>
    </xf>
    <xf numFmtId="0" fontId="54" fillId="7" borderId="83" xfId="684" applyFont="1" applyBorder="1" applyAlignment="1">
      <alignment horizontal="center" vertical="center"/>
    </xf>
    <xf numFmtId="0" fontId="35" fillId="8" borderId="8" xfId="0" applyFont="1" applyFill="1" applyBorder="1" applyAlignment="1">
      <alignment vertical="center"/>
    </xf>
    <xf numFmtId="0" fontId="35" fillId="8" borderId="10" xfId="0" applyFont="1" applyFill="1" applyBorder="1" applyAlignment="1">
      <alignment vertical="center"/>
    </xf>
    <xf numFmtId="0" fontId="55" fillId="8" borderId="10" xfId="0" applyFont="1" applyFill="1" applyBorder="1" applyAlignment="1">
      <alignment vertical="center"/>
    </xf>
    <xf numFmtId="0" fontId="35" fillId="8" borderId="4" xfId="0" applyFont="1" applyFill="1" applyBorder="1" applyAlignment="1">
      <alignment vertical="center"/>
    </xf>
    <xf numFmtId="0" fontId="35" fillId="0" borderId="0" xfId="0" applyFont="1" applyAlignment="1">
      <alignment vertical="center" wrapText="1"/>
    </xf>
    <xf numFmtId="0" fontId="35" fillId="4" borderId="4" xfId="0" applyFont="1" applyFill="1" applyBorder="1" applyAlignment="1">
      <alignment vertical="center"/>
    </xf>
    <xf numFmtId="0" fontId="35" fillId="0" borderId="0" xfId="0" applyFont="1" applyAlignment="1">
      <alignment horizontal="left" vertical="center" wrapText="1"/>
    </xf>
    <xf numFmtId="0" fontId="35" fillId="0" borderId="0" xfId="0" applyFont="1" applyAlignment="1">
      <alignment wrapText="1"/>
    </xf>
    <xf numFmtId="0" fontId="4" fillId="8" borderId="30" xfId="0" applyFont="1" applyFill="1" applyBorder="1" applyAlignment="1">
      <alignment horizontal="left" vertical="center" wrapText="1"/>
    </xf>
    <xf numFmtId="0" fontId="4" fillId="8" borderId="29" xfId="0" applyFont="1" applyFill="1" applyBorder="1" applyAlignment="1">
      <alignment horizontal="left" vertical="center" wrapText="1"/>
    </xf>
    <xf numFmtId="0" fontId="4" fillId="8" borderId="33" xfId="0" applyFont="1" applyFill="1" applyBorder="1" applyAlignment="1">
      <alignment horizontal="left" vertical="center" wrapText="1"/>
    </xf>
    <xf numFmtId="0" fontId="4" fillId="8" borderId="31" xfId="0" applyFont="1" applyFill="1" applyBorder="1" applyAlignment="1">
      <alignment horizontal="left" vertical="center" wrapText="1"/>
    </xf>
    <xf numFmtId="0" fontId="4" fillId="8" borderId="0" xfId="0" applyFont="1" applyFill="1" applyAlignment="1">
      <alignment horizontal="left" vertical="center" wrapText="1"/>
    </xf>
    <xf numFmtId="0" fontId="4" fillId="8" borderId="34" xfId="0" applyFont="1" applyFill="1" applyBorder="1" applyAlignment="1">
      <alignment horizontal="left" vertical="center" wrapText="1"/>
    </xf>
    <xf numFmtId="0" fontId="0" fillId="8" borderId="31" xfId="0" applyFill="1" applyBorder="1" applyAlignment="1">
      <alignment vertical="center" wrapText="1"/>
    </xf>
    <xf numFmtId="0" fontId="0" fillId="8" borderId="0" xfId="0" applyFill="1" applyAlignment="1">
      <alignment vertical="center" wrapText="1"/>
    </xf>
    <xf numFmtId="0" fontId="0" fillId="8" borderId="34" xfId="0" applyFill="1" applyBorder="1" applyAlignment="1">
      <alignment vertical="center" wrapText="1"/>
    </xf>
    <xf numFmtId="0" fontId="9" fillId="0" borderId="4" xfId="0" applyFont="1" applyBorder="1" applyAlignment="1">
      <alignment horizontal="left" vertical="center" wrapText="1" indent="1"/>
    </xf>
    <xf numFmtId="0" fontId="9" fillId="0" borderId="4" xfId="0" applyFont="1" applyBorder="1" applyAlignment="1">
      <alignment horizontal="left" vertical="center" wrapText="1" indent="2"/>
    </xf>
    <xf numFmtId="0" fontId="0" fillId="0" borderId="4" xfId="0" applyBorder="1" applyAlignment="1">
      <alignment vertical="center" wrapText="1"/>
    </xf>
    <xf numFmtId="0" fontId="33" fillId="0" borderId="4" xfId="0" applyFont="1" applyBorder="1" applyAlignment="1">
      <alignment vertical="center"/>
    </xf>
    <xf numFmtId="0" fontId="2" fillId="0" borderId="58" xfId="0" applyFont="1" applyBorder="1"/>
    <xf numFmtId="0" fontId="25" fillId="16" borderId="58" xfId="0" applyFont="1" applyFill="1" applyBorder="1" applyAlignment="1">
      <alignment horizontal="center" vertical="center"/>
    </xf>
    <xf numFmtId="0" fontId="0" fillId="0" borderId="4" xfId="0" applyBorder="1" applyAlignment="1" applyProtection="1">
      <alignment horizontal="left" vertical="center"/>
      <protection locked="0"/>
    </xf>
    <xf numFmtId="0" fontId="0" fillId="0" borderId="4" xfId="0" applyBorder="1" applyAlignment="1">
      <alignment horizontal="left" vertical="center"/>
    </xf>
    <xf numFmtId="0" fontId="0" fillId="18" borderId="165" xfId="0" applyFill="1" applyBorder="1" applyAlignment="1">
      <alignment horizontal="left" vertical="top" wrapText="1"/>
    </xf>
    <xf numFmtId="164" fontId="16" fillId="6" borderId="1" xfId="0" applyNumberFormat="1" applyFont="1" applyFill="1" applyBorder="1" applyAlignment="1">
      <alignment horizontal="center" vertical="center" wrapText="1"/>
    </xf>
    <xf numFmtId="169" fontId="18" fillId="16" borderId="59" xfId="0" applyNumberFormat="1" applyFont="1" applyFill="1" applyBorder="1" applyAlignment="1">
      <alignment horizontal="center" vertical="center"/>
    </xf>
    <xf numFmtId="0" fontId="0" fillId="0" borderId="16" xfId="0" applyBorder="1" applyAlignment="1">
      <alignment wrapText="1"/>
    </xf>
    <xf numFmtId="0" fontId="57" fillId="0" borderId="22" xfId="0" applyFont="1" applyBorder="1" applyAlignment="1">
      <alignment vertical="center" wrapText="1"/>
    </xf>
    <xf numFmtId="0" fontId="57" fillId="0" borderId="16" xfId="0" applyFont="1" applyBorder="1" applyAlignment="1">
      <alignment vertical="center" wrapText="1"/>
    </xf>
    <xf numFmtId="0" fontId="58" fillId="0" borderId="16" xfId="0" applyFont="1" applyBorder="1" applyAlignment="1">
      <alignment vertical="center" wrapText="1"/>
    </xf>
    <xf numFmtId="164" fontId="4" fillId="6" borderId="46" xfId="0" applyNumberFormat="1" applyFont="1" applyFill="1" applyBorder="1" applyAlignment="1">
      <alignment horizontal="center" vertical="center" wrapText="1"/>
    </xf>
    <xf numFmtId="164" fontId="4" fillId="6" borderId="18" xfId="0" applyNumberFormat="1" applyFont="1" applyFill="1" applyBorder="1" applyAlignment="1">
      <alignment horizontal="center" vertical="center" wrapText="1"/>
    </xf>
    <xf numFmtId="164" fontId="4" fillId="6" borderId="131" xfId="0" applyNumberFormat="1" applyFont="1" applyFill="1" applyBorder="1" applyAlignment="1">
      <alignment horizontal="center" vertical="center" wrapText="1"/>
    </xf>
    <xf numFmtId="164" fontId="4" fillId="6" borderId="129" xfId="0" applyNumberFormat="1" applyFont="1" applyFill="1" applyBorder="1" applyAlignment="1">
      <alignment horizontal="center" vertical="center" wrapText="1"/>
    </xf>
    <xf numFmtId="0" fontId="16" fillId="6" borderId="129" xfId="0" applyFont="1" applyFill="1" applyBorder="1" applyAlignment="1">
      <alignment horizontal="center" vertical="center" wrapText="1"/>
    </xf>
    <xf numFmtId="0" fontId="16" fillId="6" borderId="4" xfId="0" applyFont="1" applyFill="1" applyBorder="1" applyAlignment="1">
      <alignment horizontal="center" vertical="center" wrapText="1"/>
    </xf>
    <xf numFmtId="1" fontId="16" fillId="6" borderId="4" xfId="0" applyNumberFormat="1" applyFont="1" applyFill="1" applyBorder="1" applyAlignment="1">
      <alignment horizontal="center" vertical="center" wrapText="1"/>
    </xf>
    <xf numFmtId="0" fontId="16" fillId="6" borderId="23" xfId="0" applyFont="1" applyFill="1" applyBorder="1" applyAlignment="1">
      <alignment horizontal="center" vertical="center" wrapText="1"/>
    </xf>
    <xf numFmtId="164" fontId="16" fillId="6" borderId="2" xfId="0" applyNumberFormat="1" applyFont="1" applyFill="1" applyBorder="1" applyAlignment="1">
      <alignment horizontal="center" vertical="center" wrapText="1"/>
    </xf>
    <xf numFmtId="164" fontId="16" fillId="6" borderId="64" xfId="0" applyNumberFormat="1" applyFont="1" applyFill="1" applyBorder="1" applyAlignment="1">
      <alignment horizontal="center" vertical="center" wrapText="1"/>
    </xf>
    <xf numFmtId="164" fontId="16" fillId="6" borderId="3" xfId="0" applyNumberFormat="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49" fontId="4" fillId="5" borderId="18" xfId="0" applyNumberFormat="1" applyFont="1" applyFill="1" applyBorder="1" applyAlignment="1" applyProtection="1">
      <alignment horizontal="center" vertical="center" wrapText="1"/>
      <protection locked="0"/>
    </xf>
    <xf numFmtId="49" fontId="4" fillId="5" borderId="133" xfId="0" applyNumberFormat="1" applyFont="1" applyFill="1" applyBorder="1" applyAlignment="1" applyProtection="1">
      <alignment horizontal="center" vertical="center" wrapText="1"/>
      <protection locked="0"/>
    </xf>
    <xf numFmtId="1" fontId="16" fillId="6" borderId="131" xfId="0" applyNumberFormat="1" applyFont="1" applyFill="1" applyBorder="1" applyAlignment="1">
      <alignment horizontal="center" vertical="center" wrapText="1"/>
    </xf>
    <xf numFmtId="0" fontId="49" fillId="0" borderId="0" xfId="0" applyFont="1" applyAlignment="1">
      <alignment horizontal="center" vertical="center" wrapText="1"/>
    </xf>
    <xf numFmtId="0" fontId="13" fillId="16" borderId="57" xfId="0" applyFont="1" applyFill="1" applyBorder="1" applyAlignment="1">
      <alignment horizontal="left" vertical="center"/>
    </xf>
    <xf numFmtId="0" fontId="13" fillId="16" borderId="58" xfId="0" applyFont="1" applyFill="1" applyBorder="1" applyAlignment="1">
      <alignment horizontal="left" vertical="center"/>
    </xf>
    <xf numFmtId="0" fontId="13" fillId="16" borderId="59" xfId="0" applyFont="1" applyFill="1" applyBorder="1" applyAlignment="1">
      <alignment horizontal="left" vertical="center"/>
    </xf>
    <xf numFmtId="0" fontId="23" fillId="9" borderId="8" xfId="0" applyFont="1" applyFill="1" applyBorder="1" applyAlignment="1">
      <alignment horizontal="center" vertical="center"/>
    </xf>
    <xf numFmtId="0" fontId="23" fillId="9" borderId="9" xfId="0" applyFont="1" applyFill="1" applyBorder="1" applyAlignment="1">
      <alignment horizontal="center" vertical="center"/>
    </xf>
    <xf numFmtId="0" fontId="23" fillId="9" borderId="10" xfId="0" applyFont="1" applyFill="1" applyBorder="1" applyAlignment="1">
      <alignment horizontal="center" vertical="center"/>
    </xf>
    <xf numFmtId="0" fontId="30" fillId="0" borderId="0" xfId="0" applyFont="1" applyAlignment="1">
      <alignment horizontal="center" vertical="center"/>
    </xf>
    <xf numFmtId="0" fontId="2" fillId="0" borderId="8" xfId="0" applyFont="1" applyBorder="1" applyAlignment="1" applyProtection="1">
      <alignment horizontal="left" vertical="center"/>
      <protection locked="0"/>
    </xf>
    <xf numFmtId="0" fontId="2" fillId="0" borderId="9" xfId="0" applyFont="1" applyBorder="1" applyAlignment="1" applyProtection="1">
      <alignment horizontal="left" vertical="center"/>
      <protection locked="0"/>
    </xf>
    <xf numFmtId="0" fontId="2" fillId="0" borderId="10" xfId="0" applyFont="1" applyBorder="1" applyAlignment="1" applyProtection="1">
      <alignment horizontal="left" vertical="center"/>
      <protection locked="0"/>
    </xf>
    <xf numFmtId="0" fontId="22" fillId="0" borderId="8" xfId="0" applyFont="1" applyBorder="1" applyAlignment="1" applyProtection="1">
      <alignment horizontal="left" vertical="center"/>
      <protection locked="0"/>
    </xf>
    <xf numFmtId="0" fontId="22" fillId="0" borderId="9" xfId="0" applyFont="1" applyBorder="1" applyAlignment="1" applyProtection="1">
      <alignment horizontal="left" vertical="center"/>
      <protection locked="0"/>
    </xf>
    <xf numFmtId="0" fontId="22" fillId="0" borderId="10" xfId="0" applyFont="1" applyBorder="1" applyAlignment="1" applyProtection="1">
      <alignment horizontal="left" vertical="center"/>
      <protection locked="0"/>
    </xf>
    <xf numFmtId="0" fontId="22" fillId="0" borderId="30" xfId="0" applyFont="1" applyBorder="1" applyAlignment="1" applyProtection="1">
      <alignment horizontal="left" vertical="center"/>
      <protection locked="0"/>
    </xf>
    <xf numFmtId="0" fontId="22" fillId="0" borderId="29" xfId="0" applyFont="1" applyBorder="1" applyAlignment="1" applyProtection="1">
      <alignment horizontal="left" vertical="center"/>
      <protection locked="0"/>
    </xf>
    <xf numFmtId="0" fontId="22" fillId="0" borderId="3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0" borderId="52" xfId="0" applyFont="1" applyBorder="1" applyAlignment="1" applyProtection="1">
      <alignment horizontal="left" vertical="center"/>
      <protection locked="0"/>
    </xf>
    <xf numFmtId="0" fontId="2" fillId="0" borderId="35" xfId="0" applyFont="1" applyBorder="1" applyAlignment="1" applyProtection="1">
      <alignment horizontal="left" vertical="center"/>
      <protection locked="0"/>
    </xf>
    <xf numFmtId="0" fontId="12" fillId="0" borderId="8" xfId="0" applyFont="1" applyBorder="1" applyAlignment="1" applyProtection="1">
      <alignment horizontal="left" vertical="center"/>
      <protection locked="0"/>
    </xf>
    <xf numFmtId="0" fontId="12" fillId="0" borderId="9" xfId="0" applyFont="1" applyBorder="1" applyAlignment="1" applyProtection="1">
      <alignment horizontal="left" vertical="center"/>
      <protection locked="0"/>
    </xf>
    <xf numFmtId="0" fontId="12" fillId="0" borderId="10" xfId="0" applyFont="1" applyBorder="1" applyAlignment="1" applyProtection="1">
      <alignment horizontal="left" vertical="center"/>
      <protection locked="0"/>
    </xf>
    <xf numFmtId="0" fontId="36" fillId="0" borderId="8" xfId="0" applyFont="1" applyBorder="1" applyAlignment="1" applyProtection="1">
      <alignment horizontal="center" vertical="center"/>
      <protection locked="0"/>
    </xf>
    <xf numFmtId="0" fontId="12" fillId="0" borderId="9" xfId="0" applyFont="1" applyBorder="1" applyAlignment="1" applyProtection="1">
      <alignment horizontal="center" vertical="center"/>
      <protection locked="0"/>
    </xf>
    <xf numFmtId="0" fontId="12" fillId="0" borderId="10" xfId="0" applyFont="1" applyBorder="1" applyAlignment="1" applyProtection="1">
      <alignment horizontal="center" vertical="center"/>
      <protection locked="0"/>
    </xf>
    <xf numFmtId="0" fontId="12" fillId="0" borderId="8"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2" fillId="14" borderId="30" xfId="0" applyFont="1" applyFill="1" applyBorder="1" applyAlignment="1">
      <alignment horizontal="center" vertical="center" wrapText="1"/>
    </xf>
    <xf numFmtId="0" fontId="2" fillId="14" borderId="29" xfId="0" applyFont="1" applyFill="1" applyBorder="1" applyAlignment="1">
      <alignment horizontal="center" vertical="center" wrapText="1"/>
    </xf>
    <xf numFmtId="0" fontId="2" fillId="0" borderId="30" xfId="0" applyFont="1" applyBorder="1" applyAlignment="1">
      <alignment horizontal="center" vertical="center" wrapText="1"/>
    </xf>
    <xf numFmtId="0" fontId="2" fillId="0" borderId="29" xfId="0" applyFont="1" applyBorder="1" applyAlignment="1">
      <alignment horizontal="center" vertical="center" wrapText="1"/>
    </xf>
    <xf numFmtId="0" fontId="12" fillId="17" borderId="30" xfId="0" applyFont="1" applyFill="1" applyBorder="1" applyAlignment="1">
      <alignment horizontal="center" vertical="center"/>
    </xf>
    <xf numFmtId="0" fontId="12" fillId="17" borderId="29" xfId="0" applyFont="1" applyFill="1" applyBorder="1" applyAlignment="1">
      <alignment horizontal="center" vertical="center"/>
    </xf>
    <xf numFmtId="0" fontId="12" fillId="17" borderId="33" xfId="0" applyFont="1" applyFill="1" applyBorder="1" applyAlignment="1">
      <alignment horizontal="center" vertical="center"/>
    </xf>
    <xf numFmtId="0" fontId="12" fillId="17" borderId="32" xfId="0" applyFont="1" applyFill="1" applyBorder="1" applyAlignment="1">
      <alignment horizontal="center" vertical="center"/>
    </xf>
    <xf numFmtId="0" fontId="12" fillId="17" borderId="52" xfId="0" applyFont="1" applyFill="1" applyBorder="1" applyAlignment="1">
      <alignment horizontal="center" vertical="center"/>
    </xf>
    <xf numFmtId="0" fontId="12" fillId="17" borderId="35" xfId="0" applyFont="1" applyFill="1" applyBorder="1" applyAlignment="1">
      <alignment horizontal="center" vertical="center"/>
    </xf>
    <xf numFmtId="0" fontId="53" fillId="14" borderId="30" xfId="0" applyFont="1" applyFill="1" applyBorder="1" applyAlignment="1">
      <alignment horizontal="center" vertical="center"/>
    </xf>
    <xf numFmtId="0" fontId="53" fillId="14" borderId="29" xfId="0" applyFont="1" applyFill="1" applyBorder="1" applyAlignment="1">
      <alignment horizontal="center" vertical="center"/>
    </xf>
    <xf numFmtId="0" fontId="53" fillId="14" borderId="33" xfId="0" applyFont="1" applyFill="1" applyBorder="1" applyAlignment="1">
      <alignment horizontal="center" vertical="center"/>
    </xf>
    <xf numFmtId="0" fontId="53" fillId="14" borderId="32" xfId="0" applyFont="1" applyFill="1" applyBorder="1" applyAlignment="1">
      <alignment horizontal="center" vertical="center"/>
    </xf>
    <xf numFmtId="0" fontId="53" fillId="14" borderId="52" xfId="0" applyFont="1" applyFill="1" applyBorder="1" applyAlignment="1">
      <alignment horizontal="center" vertical="center"/>
    </xf>
    <xf numFmtId="0" fontId="53" fillId="14" borderId="35" xfId="0" applyFont="1" applyFill="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 fillId="14" borderId="8" xfId="0" applyFont="1" applyFill="1" applyBorder="1" applyAlignment="1">
      <alignment horizontal="center" vertical="center"/>
    </xf>
    <xf numFmtId="0" fontId="1" fillId="14" borderId="9" xfId="0" applyFont="1" applyFill="1" applyBorder="1" applyAlignment="1">
      <alignment horizontal="center" vertical="center"/>
    </xf>
    <xf numFmtId="0" fontId="1" fillId="14" borderId="10" xfId="0" applyFont="1" applyFill="1" applyBorder="1" applyAlignment="1">
      <alignment horizontal="center" vertical="center"/>
    </xf>
    <xf numFmtId="0" fontId="19" fillId="14" borderId="8" xfId="0" applyFont="1" applyFill="1" applyBorder="1" applyAlignment="1">
      <alignment horizontal="center" vertical="center"/>
    </xf>
    <xf numFmtId="0" fontId="19" fillId="14" borderId="9" xfId="0" applyFont="1" applyFill="1" applyBorder="1" applyAlignment="1">
      <alignment horizontal="center" vertical="center"/>
    </xf>
    <xf numFmtId="0" fontId="19" fillId="14" borderId="10" xfId="0" applyFont="1" applyFill="1" applyBorder="1" applyAlignment="1">
      <alignment horizontal="center" vertical="center"/>
    </xf>
    <xf numFmtId="0" fontId="12" fillId="16" borderId="30" xfId="0" applyFont="1" applyFill="1" applyBorder="1" applyAlignment="1">
      <alignment horizontal="center" vertical="center"/>
    </xf>
    <xf numFmtId="0" fontId="12" fillId="16" borderId="29" xfId="0" applyFont="1" applyFill="1" applyBorder="1" applyAlignment="1">
      <alignment horizontal="center" vertical="center"/>
    </xf>
    <xf numFmtId="0" fontId="12" fillId="16" borderId="33" xfId="0" applyFont="1" applyFill="1" applyBorder="1" applyAlignment="1">
      <alignment horizontal="center" vertical="center"/>
    </xf>
    <xf numFmtId="0" fontId="12" fillId="16" borderId="32" xfId="0" applyFont="1" applyFill="1" applyBorder="1" applyAlignment="1">
      <alignment horizontal="center" vertical="center"/>
    </xf>
    <xf numFmtId="0" fontId="12" fillId="16" borderId="52" xfId="0" applyFont="1" applyFill="1" applyBorder="1" applyAlignment="1">
      <alignment horizontal="center" vertical="center"/>
    </xf>
    <xf numFmtId="0" fontId="12" fillId="16" borderId="35" xfId="0" applyFont="1" applyFill="1" applyBorder="1" applyAlignment="1">
      <alignment horizontal="center" vertical="center"/>
    </xf>
    <xf numFmtId="0" fontId="20" fillId="0" borderId="67" xfId="0" applyFont="1" applyBorder="1" applyAlignment="1">
      <alignment horizontal="center" vertical="center"/>
    </xf>
    <xf numFmtId="0" fontId="20" fillId="0" borderId="68" xfId="0" applyFont="1" applyBorder="1" applyAlignment="1">
      <alignment horizontal="center" vertical="center"/>
    </xf>
    <xf numFmtId="0" fontId="20" fillId="0" borderId="0" xfId="0" applyFont="1" applyAlignment="1">
      <alignment horizontal="center" vertical="center"/>
    </xf>
    <xf numFmtId="0" fontId="20" fillId="0" borderId="70" xfId="0" applyFont="1" applyBorder="1" applyAlignment="1">
      <alignment horizontal="center" vertical="center"/>
    </xf>
    <xf numFmtId="0" fontId="31" fillId="0" borderId="29" xfId="0" applyFont="1" applyBorder="1" applyAlignment="1">
      <alignment horizontal="center" vertical="center"/>
    </xf>
    <xf numFmtId="0" fontId="31" fillId="0" borderId="76" xfId="0" applyFont="1" applyBorder="1" applyAlignment="1">
      <alignment horizontal="center" vertical="center"/>
    </xf>
    <xf numFmtId="0" fontId="31" fillId="0" borderId="0" xfId="0" applyFont="1" applyAlignment="1">
      <alignment horizontal="center" vertical="center"/>
    </xf>
    <xf numFmtId="0" fontId="31" fillId="0" borderId="70" xfId="0" applyFont="1" applyBorder="1" applyAlignment="1">
      <alignment horizontal="center" vertical="center"/>
    </xf>
    <xf numFmtId="0" fontId="31" fillId="0" borderId="72" xfId="0" applyFont="1" applyBorder="1" applyAlignment="1">
      <alignment horizontal="center" vertical="center"/>
    </xf>
    <xf numFmtId="0" fontId="31" fillId="0" borderId="73" xfId="0" applyFont="1" applyBorder="1" applyAlignment="1">
      <alignment horizontal="center" vertic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17" fillId="0" borderId="66" xfId="0" applyFont="1" applyBorder="1" applyAlignment="1">
      <alignment horizontal="center" vertical="center" wrapText="1"/>
    </xf>
    <xf numFmtId="0" fontId="17" fillId="0" borderId="67" xfId="0" applyFont="1" applyBorder="1" applyAlignment="1">
      <alignment horizontal="center" vertical="center" wrapText="1"/>
    </xf>
    <xf numFmtId="0" fontId="17" fillId="0" borderId="80" xfId="0" applyFont="1" applyBorder="1" applyAlignment="1">
      <alignment horizontal="center" vertical="center" wrapText="1"/>
    </xf>
    <xf numFmtId="0" fontId="17" fillId="0" borderId="69" xfId="0" applyFont="1" applyBorder="1" applyAlignment="1">
      <alignment horizontal="center" vertical="center" wrapText="1"/>
    </xf>
    <xf numFmtId="0" fontId="17" fillId="0" borderId="0" xfId="0" applyFont="1" applyAlignment="1">
      <alignment horizontal="center" vertical="center" wrapText="1"/>
    </xf>
    <xf numFmtId="0" fontId="17" fillId="0" borderId="34" xfId="0" applyFont="1" applyBorder="1" applyAlignment="1">
      <alignment horizontal="center" vertical="center" wrapText="1"/>
    </xf>
    <xf numFmtId="0" fontId="17" fillId="0" borderId="7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35" xfId="0" applyFont="1" applyBorder="1" applyAlignment="1">
      <alignment horizontal="center" vertical="center" wrapText="1"/>
    </xf>
    <xf numFmtId="0" fontId="20" fillId="0" borderId="53" xfId="0" applyFont="1" applyBorder="1" applyAlignment="1">
      <alignment horizontal="center" vertical="center"/>
    </xf>
    <xf numFmtId="0" fontId="20" fillId="0" borderId="54" xfId="0" applyFont="1" applyBorder="1" applyAlignment="1">
      <alignment horizontal="center" vertical="center"/>
    </xf>
    <xf numFmtId="0" fontId="17" fillId="0" borderId="74"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3" xfId="0" applyFont="1" applyBorder="1" applyAlignment="1">
      <alignment horizontal="center" vertical="center" wrapText="1"/>
    </xf>
    <xf numFmtId="0" fontId="17" fillId="0" borderId="71" xfId="0" applyFont="1" applyBorder="1" applyAlignment="1">
      <alignment horizontal="center" vertical="center" wrapText="1"/>
    </xf>
    <xf numFmtId="0" fontId="17" fillId="0" borderId="72" xfId="0" applyFont="1" applyBorder="1" applyAlignment="1">
      <alignment horizontal="center" vertical="center" wrapText="1"/>
    </xf>
    <xf numFmtId="0" fontId="17" fillId="0" borderId="79" xfId="0" applyFont="1" applyBorder="1" applyAlignment="1">
      <alignment horizontal="center" vertical="center" wrapText="1"/>
    </xf>
    <xf numFmtId="0" fontId="20" fillId="0" borderId="55"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17" fillId="0" borderId="74" xfId="0" applyFont="1" applyBorder="1" applyAlignment="1">
      <alignment horizontal="center" vertical="center"/>
    </xf>
    <xf numFmtId="0" fontId="17" fillId="0" borderId="29" xfId="0" applyFont="1" applyBorder="1" applyAlignment="1">
      <alignment horizontal="center" vertical="center"/>
    </xf>
    <xf numFmtId="0" fontId="17" fillId="0" borderId="33" xfId="0" applyFont="1" applyBorder="1" applyAlignment="1">
      <alignment horizontal="center" vertical="center"/>
    </xf>
    <xf numFmtId="0" fontId="17" fillId="0" borderId="69" xfId="0" applyFont="1" applyBorder="1" applyAlignment="1">
      <alignment horizontal="center" vertical="center"/>
    </xf>
    <xf numFmtId="0" fontId="17" fillId="0" borderId="0" xfId="0" applyFont="1" applyAlignment="1">
      <alignment horizontal="center" vertical="center"/>
    </xf>
    <xf numFmtId="0" fontId="17" fillId="0" borderId="34" xfId="0" applyFont="1" applyBorder="1" applyAlignment="1">
      <alignment horizontal="center" vertical="center"/>
    </xf>
    <xf numFmtId="0" fontId="17" fillId="0" borderId="71" xfId="0" applyFont="1" applyBorder="1" applyAlignment="1">
      <alignment horizontal="center" vertical="center"/>
    </xf>
    <xf numFmtId="0" fontId="17" fillId="0" borderId="72" xfId="0" applyFont="1" applyBorder="1" applyAlignment="1">
      <alignment horizontal="center" vertical="center"/>
    </xf>
    <xf numFmtId="0" fontId="17" fillId="0" borderId="79" xfId="0" applyFont="1" applyBorder="1" applyAlignment="1">
      <alignment horizontal="center" vertical="center"/>
    </xf>
    <xf numFmtId="9" fontId="20" fillId="0" borderId="8" xfId="155" applyFont="1" applyBorder="1" applyAlignment="1">
      <alignment horizontal="center" vertical="center"/>
    </xf>
    <xf numFmtId="9" fontId="20" fillId="0" borderId="78" xfId="155" applyFont="1" applyBorder="1" applyAlignment="1">
      <alignment horizontal="center" vertical="center"/>
    </xf>
    <xf numFmtId="0" fontId="17" fillId="0" borderId="66" xfId="0" applyFont="1" applyBorder="1" applyAlignment="1">
      <alignment horizontal="center" vertical="center"/>
    </xf>
    <xf numFmtId="0" fontId="17" fillId="0" borderId="67" xfId="0" applyFont="1" applyBorder="1" applyAlignment="1">
      <alignment horizontal="center" vertical="center"/>
    </xf>
    <xf numFmtId="0" fontId="17" fillId="0" borderId="80" xfId="0" applyFont="1" applyBorder="1" applyAlignment="1">
      <alignment horizontal="center" vertical="center"/>
    </xf>
    <xf numFmtId="0" fontId="17" fillId="0" borderId="75" xfId="0" applyFont="1" applyBorder="1" applyAlignment="1">
      <alignment horizontal="center" vertical="center"/>
    </xf>
    <xf numFmtId="0" fontId="17" fillId="0" borderId="52" xfId="0" applyFont="1" applyBorder="1" applyAlignment="1">
      <alignment horizontal="center" vertical="center"/>
    </xf>
    <xf numFmtId="0" fontId="17" fillId="0" borderId="35" xfId="0" applyFont="1" applyBorder="1" applyAlignment="1">
      <alignment horizontal="center" vertical="center"/>
    </xf>
    <xf numFmtId="9" fontId="20" fillId="0" borderId="77" xfId="155" applyFont="1" applyBorder="1" applyAlignment="1">
      <alignment horizontal="center" vertical="center"/>
    </xf>
    <xf numFmtId="0" fontId="2" fillId="0" borderId="108" xfId="0" applyFont="1" applyBorder="1" applyAlignment="1" applyProtection="1">
      <alignment horizontal="left" vertical="center" wrapText="1"/>
      <protection locked="0"/>
    </xf>
    <xf numFmtId="0" fontId="2" fillId="0" borderId="109" xfId="0" applyFont="1" applyBorder="1" applyAlignment="1" applyProtection="1">
      <alignment horizontal="left" vertical="center" wrapText="1"/>
      <protection locked="0"/>
    </xf>
    <xf numFmtId="0" fontId="2" fillId="0" borderId="111" xfId="0" applyFont="1" applyBorder="1" applyAlignment="1" applyProtection="1">
      <alignment horizontal="left" vertical="center" wrapText="1"/>
      <protection locked="0"/>
    </xf>
    <xf numFmtId="0" fontId="2" fillId="0" borderId="112" xfId="0" applyFont="1" applyBorder="1" applyAlignment="1" applyProtection="1">
      <alignment horizontal="left" vertical="center" wrapText="1"/>
      <protection locked="0"/>
    </xf>
    <xf numFmtId="0" fontId="19" fillId="14" borderId="142" xfId="0" applyFont="1" applyFill="1" applyBorder="1" applyAlignment="1">
      <alignment horizontal="center" vertical="center"/>
    </xf>
    <xf numFmtId="0" fontId="19" fillId="14" borderId="149" xfId="0" applyFont="1" applyFill="1" applyBorder="1" applyAlignment="1">
      <alignment horizontal="center" vertical="center"/>
    </xf>
    <xf numFmtId="1" fontId="14" fillId="0" borderId="22"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4" fillId="0" borderId="23" xfId="0" applyNumberFormat="1" applyFont="1" applyBorder="1" applyAlignment="1">
      <alignment horizontal="center" vertical="center"/>
    </xf>
    <xf numFmtId="0" fontId="2" fillId="0" borderId="143" xfId="0" applyFont="1" applyBorder="1" applyAlignment="1">
      <alignment horizontal="left" vertical="center" wrapText="1"/>
    </xf>
    <xf numFmtId="0" fontId="2" fillId="0" borderId="144" xfId="0" applyFont="1" applyBorder="1" applyAlignment="1">
      <alignment horizontal="left" vertical="center" wrapText="1"/>
    </xf>
    <xf numFmtId="0" fontId="2" fillId="0" borderId="145" xfId="0" applyFont="1" applyBorder="1" applyAlignment="1">
      <alignment horizontal="left" vertical="center" wrapText="1"/>
    </xf>
    <xf numFmtId="0" fontId="2" fillId="0" borderId="146" xfId="0" applyFont="1" applyBorder="1" applyAlignment="1">
      <alignment horizontal="left" vertical="center" wrapText="1"/>
    </xf>
    <xf numFmtId="0" fontId="2" fillId="0" borderId="147" xfId="0" applyFont="1" applyBorder="1" applyAlignment="1">
      <alignment horizontal="left" vertical="center" wrapText="1"/>
    </xf>
    <xf numFmtId="0" fontId="2" fillId="0" borderId="148" xfId="0" applyFont="1" applyBorder="1" applyAlignment="1">
      <alignment horizontal="left" vertical="center" wrapText="1"/>
    </xf>
    <xf numFmtId="0" fontId="19" fillId="14" borderId="49" xfId="0" applyFont="1" applyFill="1" applyBorder="1" applyAlignment="1">
      <alignment horizontal="center" vertical="center" wrapText="1"/>
    </xf>
    <xf numFmtId="0" fontId="19" fillId="14" borderId="63" xfId="0" applyFont="1" applyFill="1" applyBorder="1" applyAlignment="1">
      <alignment horizontal="center" vertical="center" wrapText="1"/>
    </xf>
    <xf numFmtId="0" fontId="2" fillId="0" borderId="105" xfId="0" applyFont="1" applyBorder="1" applyAlignment="1" applyProtection="1">
      <alignment horizontal="left" vertical="center" wrapText="1"/>
      <protection locked="0"/>
    </xf>
    <xf numFmtId="0" fontId="2" fillId="0" borderId="106" xfId="0" applyFont="1" applyBorder="1" applyAlignment="1" applyProtection="1">
      <alignment horizontal="left" vertical="center" wrapText="1"/>
      <protection locked="0"/>
    </xf>
    <xf numFmtId="0" fontId="2" fillId="0" borderId="50" xfId="0" applyFont="1" applyBorder="1" applyAlignment="1">
      <alignment horizontal="left" vertical="center" wrapText="1"/>
    </xf>
    <xf numFmtId="0" fontId="2" fillId="0" borderId="51" xfId="0" applyFont="1" applyBorder="1" applyAlignment="1">
      <alignment horizontal="left" vertical="center" wrapText="1"/>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171" fontId="4" fillId="0" borderId="2" xfId="0" applyNumberFormat="1" applyFont="1" applyBorder="1" applyAlignment="1">
      <alignment horizontal="center" vertical="center" wrapText="1"/>
    </xf>
    <xf numFmtId="171" fontId="4" fillId="0" borderId="3" xfId="0" applyNumberFormat="1" applyFont="1" applyBorder="1" applyAlignment="1">
      <alignment horizontal="center" vertical="center" wrapText="1"/>
    </xf>
    <xf numFmtId="0" fontId="2" fillId="0" borderId="81" xfId="0" applyFont="1" applyBorder="1" applyAlignment="1">
      <alignment horizontal="left" vertical="center" wrapText="1"/>
    </xf>
    <xf numFmtId="0" fontId="2" fillId="0" borderId="82" xfId="0" applyFont="1" applyBorder="1" applyAlignment="1">
      <alignment horizontal="left" vertical="center" wrapText="1"/>
    </xf>
    <xf numFmtId="171" fontId="4" fillId="0" borderId="7" xfId="0" applyNumberFormat="1" applyFont="1" applyBorder="1" applyAlignment="1">
      <alignment horizontal="center" vertical="center" wrapText="1"/>
    </xf>
    <xf numFmtId="0" fontId="4" fillId="14" borderId="101" xfId="0" applyFont="1" applyFill="1" applyBorder="1" applyAlignment="1">
      <alignment horizontal="left" vertical="center" wrapText="1"/>
    </xf>
    <xf numFmtId="0" fontId="4" fillId="14" borderId="102" xfId="0" applyFont="1" applyFill="1" applyBorder="1" applyAlignment="1">
      <alignment horizontal="left" vertical="center" wrapText="1"/>
    </xf>
    <xf numFmtId="0" fontId="4" fillId="14" borderId="103" xfId="0" applyFont="1" applyFill="1" applyBorder="1" applyAlignment="1">
      <alignment horizontal="left" vertical="center" wrapText="1"/>
    </xf>
    <xf numFmtId="0" fontId="4" fillId="6" borderId="95"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14" borderId="98" xfId="0" applyFont="1" applyFill="1" applyBorder="1" applyAlignment="1">
      <alignment horizontal="left" vertical="center" wrapText="1"/>
    </xf>
    <xf numFmtId="0" fontId="4" fillId="14" borderId="99" xfId="0" applyFont="1" applyFill="1" applyBorder="1" applyAlignment="1">
      <alignment horizontal="left" vertical="center" wrapText="1"/>
    </xf>
    <xf numFmtId="0" fontId="4" fillId="14" borderId="100" xfId="0" applyFont="1" applyFill="1" applyBorder="1" applyAlignment="1">
      <alignment horizontal="left" vertical="center" wrapText="1"/>
    </xf>
    <xf numFmtId="0" fontId="4" fillId="0" borderId="2" xfId="0" applyFont="1" applyBorder="1" applyAlignment="1" applyProtection="1">
      <alignment horizontal="left" vertical="center" wrapText="1"/>
      <protection locked="0"/>
    </xf>
    <xf numFmtId="0" fontId="4" fillId="0" borderId="7"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2" xfId="0" applyFont="1" applyBorder="1" applyAlignment="1">
      <alignment horizontal="left" vertical="center"/>
    </xf>
    <xf numFmtId="0" fontId="4" fillId="0" borderId="7" xfId="0" applyFont="1" applyBorder="1" applyAlignment="1">
      <alignment horizontal="left" vertical="center"/>
    </xf>
    <xf numFmtId="0" fontId="4" fillId="0" borderId="3" xfId="0" applyFont="1" applyBorder="1" applyAlignment="1">
      <alignment horizontal="left" vertical="center"/>
    </xf>
    <xf numFmtId="171" fontId="4" fillId="0" borderId="25" xfId="0" applyNumberFormat="1" applyFont="1" applyBorder="1" applyAlignment="1">
      <alignment horizontal="center" vertical="center" wrapText="1"/>
    </xf>
    <xf numFmtId="171" fontId="4" fillId="0" borderId="24" xfId="0" applyNumberFormat="1" applyFont="1" applyBorder="1" applyAlignment="1">
      <alignment horizontal="center" vertical="center" wrapText="1"/>
    </xf>
    <xf numFmtId="0" fontId="4" fillId="0" borderId="49" xfId="0" applyFont="1" applyBorder="1" applyAlignment="1" applyProtection="1">
      <alignment horizontal="left" vertical="center" wrapText="1"/>
      <protection locked="0"/>
    </xf>
    <xf numFmtId="0" fontId="4" fillId="0" borderId="43" xfId="0" applyFont="1" applyBorder="1" applyAlignment="1" applyProtection="1">
      <alignment horizontal="left" vertical="center" wrapText="1"/>
      <protection locked="0"/>
    </xf>
    <xf numFmtId="0" fontId="4" fillId="0" borderId="44" xfId="0" applyFont="1" applyBorder="1" applyAlignment="1" applyProtection="1">
      <alignment horizontal="left" vertical="center" wrapText="1"/>
      <protection locked="0"/>
    </xf>
    <xf numFmtId="0" fontId="4" fillId="0" borderId="63" xfId="0" applyFont="1" applyBorder="1" applyAlignment="1">
      <alignment horizontal="left" vertical="center"/>
    </xf>
    <xf numFmtId="0" fontId="4" fillId="0" borderId="37" xfId="0" applyFont="1" applyBorder="1" applyAlignment="1">
      <alignment horizontal="left" vertical="center"/>
    </xf>
    <xf numFmtId="0" fontId="4" fillId="0" borderId="38" xfId="0" applyFont="1" applyBorder="1" applyAlignment="1">
      <alignment horizontal="left" vertical="center"/>
    </xf>
    <xf numFmtId="0" fontId="4" fillId="6" borderId="24" xfId="0" applyFont="1" applyFill="1" applyBorder="1" applyAlignment="1">
      <alignment horizontal="center" vertical="center" wrapText="1"/>
    </xf>
    <xf numFmtId="0" fontId="4" fillId="14" borderId="114" xfId="0" applyFont="1" applyFill="1" applyBorder="1" applyAlignment="1">
      <alignment horizontal="left" vertical="center" wrapText="1"/>
    </xf>
    <xf numFmtId="0" fontId="4" fillId="14" borderId="96" xfId="0" applyFont="1" applyFill="1" applyBorder="1" applyAlignment="1">
      <alignment horizontal="left" vertical="center" wrapText="1"/>
    </xf>
    <xf numFmtId="0" fontId="4" fillId="14" borderId="97" xfId="0" applyFont="1" applyFill="1" applyBorder="1" applyAlignment="1">
      <alignment horizontal="left" vertical="center" wrapText="1"/>
    </xf>
    <xf numFmtId="0" fontId="4" fillId="14" borderId="88" xfId="0" applyFont="1" applyFill="1" applyBorder="1" applyAlignment="1">
      <alignment horizontal="left" vertical="center" wrapText="1"/>
    </xf>
    <xf numFmtId="0" fontId="4" fillId="0" borderId="63"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171" fontId="4" fillId="0" borderId="118" xfId="0" applyNumberFormat="1" applyFont="1" applyBorder="1" applyAlignment="1">
      <alignment horizontal="center" vertical="center" wrapText="1"/>
    </xf>
    <xf numFmtId="171" fontId="4" fillId="0" borderId="40" xfId="0" applyNumberFormat="1" applyFont="1" applyBorder="1" applyAlignment="1">
      <alignment horizontal="center" vertical="center" wrapText="1"/>
    </xf>
    <xf numFmtId="171" fontId="4" fillId="0" borderId="41" xfId="0" applyNumberFormat="1" applyFont="1" applyBorder="1" applyAlignment="1">
      <alignment horizontal="center" vertical="center" wrapText="1"/>
    </xf>
    <xf numFmtId="0" fontId="4" fillId="0" borderId="49"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0" fontId="4" fillId="0" borderId="44" xfId="0" applyFont="1" applyBorder="1" applyAlignment="1" applyProtection="1">
      <alignment horizontal="center" vertical="center" wrapText="1"/>
      <protection locked="0"/>
    </xf>
    <xf numFmtId="0" fontId="4" fillId="14" borderId="120" xfId="0" applyFont="1" applyFill="1" applyBorder="1" applyAlignment="1">
      <alignment horizontal="left" vertical="center" wrapText="1"/>
    </xf>
    <xf numFmtId="0" fontId="4" fillId="3" borderId="119" xfId="0" applyFont="1" applyFill="1" applyBorder="1" applyAlignment="1">
      <alignment horizontal="left" vertical="center" wrapText="1"/>
    </xf>
    <xf numFmtId="0" fontId="4" fillId="3" borderId="29" xfId="0" applyFont="1" applyFill="1" applyBorder="1" applyAlignment="1">
      <alignment horizontal="left" vertical="center" wrapText="1"/>
    </xf>
    <xf numFmtId="0" fontId="4" fillId="3" borderId="118" xfId="0" applyFont="1" applyFill="1" applyBorder="1" applyAlignment="1">
      <alignment horizontal="left" vertical="center" wrapText="1"/>
    </xf>
    <xf numFmtId="0" fontId="4" fillId="0" borderId="25"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25"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171" fontId="4" fillId="0" borderId="45" xfId="0" applyNumberFormat="1" applyFont="1" applyBorder="1" applyAlignment="1">
      <alignment horizontal="center" vertical="center" wrapText="1"/>
    </xf>
    <xf numFmtId="171" fontId="4" fillId="0" borderId="16" xfId="0" applyNumberFormat="1" applyFont="1" applyBorder="1" applyAlignment="1">
      <alignment horizontal="center" vertical="center" wrapText="1"/>
    </xf>
    <xf numFmtId="171" fontId="4" fillId="0" borderId="46" xfId="0" applyNumberFormat="1" applyFont="1" applyBorder="1" applyAlignment="1">
      <alignment horizontal="center" vertical="center" wrapText="1"/>
    </xf>
    <xf numFmtId="0" fontId="2" fillId="0" borderId="22"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3" fillId="0" borderId="22" xfId="0" applyFont="1" applyBorder="1" applyAlignment="1">
      <alignment horizontal="left" vertical="center"/>
    </xf>
    <xf numFmtId="0" fontId="3" fillId="0" borderId="16" xfId="0" applyFont="1" applyBorder="1" applyAlignment="1">
      <alignment horizontal="left" vertical="center"/>
    </xf>
    <xf numFmtId="0" fontId="3" fillId="0" borderId="23" xfId="0" applyFont="1" applyBorder="1" applyAlignment="1">
      <alignment horizontal="left" vertical="center"/>
    </xf>
    <xf numFmtId="0" fontId="4" fillId="6" borderId="22"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16" fillId="6" borderId="22"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23" xfId="0" applyFont="1" applyFill="1" applyBorder="1" applyAlignment="1">
      <alignment horizontal="center" vertical="center" wrapText="1"/>
    </xf>
    <xf numFmtId="0" fontId="4" fillId="14" borderId="127" xfId="0" applyFont="1" applyFill="1" applyBorder="1" applyAlignment="1">
      <alignment horizontal="left" vertical="center" wrapText="1"/>
    </xf>
    <xf numFmtId="0" fontId="4" fillId="14" borderId="128" xfId="0" applyFont="1" applyFill="1" applyBorder="1" applyAlignment="1">
      <alignment horizontal="left" vertical="center" wrapText="1"/>
    </xf>
    <xf numFmtId="171" fontId="4" fillId="0" borderId="22" xfId="0" applyNumberFormat="1" applyFont="1" applyBorder="1" applyAlignment="1">
      <alignment horizontal="center" vertical="center"/>
    </xf>
    <xf numFmtId="171" fontId="4" fillId="0" borderId="16" xfId="0" applyNumberFormat="1" applyFont="1" applyBorder="1" applyAlignment="1">
      <alignment horizontal="center" vertical="center"/>
    </xf>
    <xf numFmtId="171" fontId="4" fillId="0" borderId="23" xfId="0" applyNumberFormat="1" applyFont="1" applyBorder="1" applyAlignment="1">
      <alignment horizontal="center" vertical="center"/>
    </xf>
    <xf numFmtId="0" fontId="2" fillId="0" borderId="22" xfId="0" applyFont="1" applyBorder="1" applyAlignment="1" applyProtection="1">
      <alignment vertical="center"/>
      <protection locked="0"/>
    </xf>
    <xf numFmtId="0" fontId="2" fillId="0" borderId="16" xfId="0" applyFont="1" applyBorder="1" applyAlignment="1" applyProtection="1">
      <alignment vertical="center"/>
      <protection locked="0"/>
    </xf>
    <xf numFmtId="0" fontId="2" fillId="0" borderId="23" xfId="0" applyFont="1" applyBorder="1" applyAlignment="1" applyProtection="1">
      <alignment vertical="center"/>
      <protection locked="0"/>
    </xf>
    <xf numFmtId="171" fontId="4" fillId="0" borderId="49" xfId="0" applyNumberFormat="1" applyFont="1" applyBorder="1" applyAlignment="1">
      <alignment horizontal="center" vertical="center" wrapText="1"/>
    </xf>
    <xf numFmtId="171" fontId="4" fillId="0" borderId="43" xfId="0" applyNumberFormat="1" applyFont="1" applyBorder="1" applyAlignment="1">
      <alignment horizontal="center" vertical="center" wrapText="1"/>
    </xf>
    <xf numFmtId="171" fontId="4" fillId="0" borderId="44" xfId="0" applyNumberFormat="1" applyFont="1" applyBorder="1" applyAlignment="1">
      <alignment horizontal="center" vertical="center" wrapText="1"/>
    </xf>
    <xf numFmtId="0" fontId="4" fillId="0" borderId="2" xfId="0" applyFont="1" applyBorder="1" applyAlignment="1" applyProtection="1">
      <alignment vertical="center" wrapText="1"/>
      <protection locked="0"/>
    </xf>
    <xf numFmtId="0" fontId="4" fillId="0" borderId="7" xfId="0" applyFont="1" applyBorder="1" applyAlignment="1" applyProtection="1">
      <alignment vertical="center" wrapText="1"/>
      <protection locked="0"/>
    </xf>
    <xf numFmtId="0" fontId="4" fillId="6" borderId="133" xfId="0" applyFont="1" applyFill="1" applyBorder="1" applyAlignment="1">
      <alignment horizontal="center" vertical="center" wrapText="1"/>
    </xf>
    <xf numFmtId="0" fontId="4" fillId="14" borderId="31" xfId="0" applyFont="1" applyFill="1" applyBorder="1" applyAlignment="1">
      <alignment horizontal="left" vertical="center" wrapText="1"/>
    </xf>
    <xf numFmtId="0" fontId="4" fillId="14" borderId="0" xfId="0" applyFont="1" applyFill="1" applyAlignment="1">
      <alignment horizontal="left" vertical="center" wrapText="1"/>
    </xf>
    <xf numFmtId="0" fontId="4" fillId="14" borderId="40" xfId="0" applyFont="1" applyFill="1" applyBorder="1" applyAlignment="1">
      <alignment horizontal="left" vertical="center" wrapText="1"/>
    </xf>
    <xf numFmtId="0" fontId="3" fillId="0" borderId="63" xfId="0" applyFont="1" applyBorder="1" applyAlignment="1">
      <alignment horizontal="left" vertical="center"/>
    </xf>
    <xf numFmtId="0" fontId="3" fillId="0" borderId="37" xfId="0" applyFont="1" applyBorder="1" applyAlignment="1">
      <alignment horizontal="left" vertical="center"/>
    </xf>
    <xf numFmtId="0" fontId="3" fillId="0" borderId="38" xfId="0" applyFont="1" applyBorder="1" applyAlignment="1">
      <alignment horizontal="left" vertical="center"/>
    </xf>
    <xf numFmtId="0" fontId="3" fillId="0" borderId="25" xfId="0" applyFont="1" applyBorder="1" applyAlignment="1">
      <alignment horizontal="left" vertical="center"/>
    </xf>
    <xf numFmtId="0" fontId="3" fillId="0" borderId="7" xfId="0" applyFont="1" applyBorder="1" applyAlignment="1">
      <alignment horizontal="left" vertical="center"/>
    </xf>
    <xf numFmtId="0" fontId="3" fillId="0" borderId="24" xfId="0" applyFont="1" applyBorder="1" applyAlignment="1">
      <alignment horizontal="left" vertical="center"/>
    </xf>
    <xf numFmtId="0" fontId="4" fillId="0" borderId="49" xfId="0" applyFont="1" applyBorder="1" applyAlignment="1" applyProtection="1">
      <alignment vertical="center" wrapText="1"/>
      <protection locked="0"/>
    </xf>
    <xf numFmtId="0" fontId="4" fillId="0" borderId="43" xfId="0" applyFont="1" applyBorder="1" applyAlignment="1" applyProtection="1">
      <alignment vertical="center" wrapText="1"/>
      <protection locked="0"/>
    </xf>
    <xf numFmtId="0" fontId="4" fillId="0" borderId="44" xfId="0" applyFont="1" applyBorder="1" applyAlignment="1" applyProtection="1">
      <alignment vertical="center" wrapText="1"/>
      <protection locked="0"/>
    </xf>
    <xf numFmtId="0" fontId="4" fillId="6" borderId="141" xfId="0" applyFont="1" applyFill="1" applyBorder="1" applyAlignment="1">
      <alignment horizontal="center" vertical="center" wrapText="1"/>
    </xf>
    <xf numFmtId="0" fontId="4" fillId="6" borderId="37"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4" fillId="14" borderId="30" xfId="0" applyFont="1" applyFill="1" applyBorder="1" applyAlignment="1">
      <alignment horizontal="left" vertical="center" wrapText="1"/>
    </xf>
    <xf numFmtId="0" fontId="4" fillId="14" borderId="29" xfId="0" applyFont="1" applyFill="1" applyBorder="1" applyAlignment="1">
      <alignment horizontal="left" vertical="center" wrapText="1"/>
    </xf>
    <xf numFmtId="0" fontId="4" fillId="14" borderId="118" xfId="0" applyFont="1" applyFill="1" applyBorder="1" applyAlignment="1">
      <alignment horizontal="left" vertical="center" wrapText="1"/>
    </xf>
    <xf numFmtId="171" fontId="4" fillId="0" borderId="33" xfId="0" applyNumberFormat="1" applyFont="1" applyBorder="1" applyAlignment="1">
      <alignment horizontal="center" vertical="center" wrapText="1"/>
    </xf>
    <xf numFmtId="171" fontId="4" fillId="0" borderId="34" xfId="0" applyNumberFormat="1" applyFont="1" applyBorder="1" applyAlignment="1">
      <alignment horizontal="center" vertical="center" wrapText="1"/>
    </xf>
    <xf numFmtId="171" fontId="4" fillId="0" borderId="35" xfId="0" applyNumberFormat="1" applyFont="1" applyBorder="1" applyAlignment="1">
      <alignment horizontal="center" vertical="center" wrapText="1"/>
    </xf>
    <xf numFmtId="171" fontId="2" fillId="0" borderId="22" xfId="0" applyNumberFormat="1" applyFont="1" applyBorder="1" applyAlignment="1">
      <alignment horizontal="center" vertical="center"/>
    </xf>
    <xf numFmtId="171" fontId="2" fillId="0" borderId="16" xfId="0" applyNumberFormat="1" applyFont="1" applyBorder="1" applyAlignment="1">
      <alignment horizontal="center" vertical="center"/>
    </xf>
    <xf numFmtId="171" fontId="2" fillId="0" borderId="23" xfId="0" applyNumberFormat="1" applyFont="1" applyBorder="1" applyAlignment="1">
      <alignment horizontal="center" vertical="center"/>
    </xf>
    <xf numFmtId="0" fontId="4" fillId="6" borderId="138" xfId="0" applyFont="1" applyFill="1" applyBorder="1" applyAlignment="1">
      <alignment horizontal="center" vertical="center" wrapText="1"/>
    </xf>
    <xf numFmtId="0" fontId="4" fillId="6" borderId="48" xfId="0" applyFont="1" applyFill="1" applyBorder="1" applyAlignment="1">
      <alignment horizontal="center" vertical="center" wrapText="1"/>
    </xf>
    <xf numFmtId="171" fontId="4" fillId="0" borderId="36" xfId="0" applyNumberFormat="1" applyFont="1" applyBorder="1" applyAlignment="1">
      <alignment horizontal="center" vertical="center" wrapText="1"/>
    </xf>
    <xf numFmtId="171" fontId="4" fillId="0" borderId="37" xfId="0" applyNumberFormat="1" applyFont="1" applyBorder="1" applyAlignment="1">
      <alignment horizontal="center" vertical="center" wrapText="1"/>
    </xf>
    <xf numFmtId="171" fontId="4" fillId="0" borderId="38" xfId="0" applyNumberFormat="1" applyFont="1" applyBorder="1" applyAlignment="1">
      <alignment horizontal="center" vertical="center" wrapText="1"/>
    </xf>
    <xf numFmtId="0" fontId="3" fillId="0" borderId="22"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171" fontId="4" fillId="0" borderId="22" xfId="0" applyNumberFormat="1" applyFont="1" applyBorder="1" applyAlignment="1">
      <alignment horizontal="center" vertical="center" wrapText="1"/>
    </xf>
    <xf numFmtId="171" fontId="4" fillId="0" borderId="23" xfId="0" applyNumberFormat="1" applyFont="1" applyBorder="1" applyAlignment="1">
      <alignment horizontal="center" vertical="center" wrapText="1"/>
    </xf>
    <xf numFmtId="0" fontId="4" fillId="0" borderId="2" xfId="0" applyFont="1" applyBorder="1" applyAlignment="1">
      <alignment horizontal="center" vertical="center"/>
    </xf>
    <xf numFmtId="171" fontId="4" fillId="0" borderId="42" xfId="0" applyNumberFormat="1" applyFont="1" applyBorder="1" applyAlignment="1">
      <alignment horizontal="center" vertical="center" wrapText="1"/>
    </xf>
    <xf numFmtId="0" fontId="3" fillId="0" borderId="46" xfId="0" applyFont="1" applyBorder="1" applyAlignment="1">
      <alignment horizontal="center" vertical="center"/>
    </xf>
    <xf numFmtId="0" fontId="4" fillId="14" borderId="151" xfId="0" applyFont="1" applyFill="1" applyBorder="1" applyAlignment="1">
      <alignment horizontal="left" vertical="center" wrapText="1"/>
    </xf>
    <xf numFmtId="0" fontId="4" fillId="14" borderId="116" xfId="0" applyFont="1" applyFill="1" applyBorder="1" applyAlignment="1">
      <alignment horizontal="left" vertical="center" wrapText="1"/>
    </xf>
    <xf numFmtId="0" fontId="4" fillId="14" borderId="152" xfId="0" applyFont="1" applyFill="1" applyBorder="1" applyAlignment="1">
      <alignment horizontal="left" vertical="center" wrapText="1"/>
    </xf>
    <xf numFmtId="0" fontId="4" fillId="0" borderId="24" xfId="0" applyFont="1" applyBorder="1" applyAlignment="1">
      <alignment horizontal="center" vertical="center"/>
    </xf>
    <xf numFmtId="0" fontId="4" fillId="0" borderId="22" xfId="0" applyFont="1" applyBorder="1" applyAlignment="1">
      <alignment horizontal="center" vertical="center"/>
    </xf>
    <xf numFmtId="0" fontId="4" fillId="0" borderId="16" xfId="0" applyFont="1" applyBorder="1" applyAlignment="1">
      <alignment horizontal="center" vertical="center"/>
    </xf>
    <xf numFmtId="0" fontId="4" fillId="0" borderId="23" xfId="0" applyFont="1" applyBorder="1" applyAlignment="1">
      <alignment horizontal="center" vertical="center"/>
    </xf>
    <xf numFmtId="0" fontId="4" fillId="14" borderId="86" xfId="0" applyFont="1" applyFill="1" applyBorder="1" applyAlignment="1">
      <alignment horizontal="left" vertical="center" wrapText="1"/>
    </xf>
    <xf numFmtId="0" fontId="4" fillId="14" borderId="33" xfId="0" applyFont="1" applyFill="1" applyBorder="1" applyAlignment="1">
      <alignment horizontal="left" vertical="center" wrapText="1"/>
    </xf>
    <xf numFmtId="0" fontId="4" fillId="14" borderId="150" xfId="0" applyFont="1" applyFill="1" applyBorder="1" applyAlignment="1">
      <alignment horizontal="left" vertical="center" wrapText="1"/>
    </xf>
    <xf numFmtId="171" fontId="2" fillId="0" borderId="30" xfId="0" applyNumberFormat="1" applyFont="1" applyBorder="1" applyAlignment="1">
      <alignment horizontal="center" vertical="center"/>
    </xf>
    <xf numFmtId="171" fontId="2" fillId="0" borderId="31" xfId="0" applyNumberFormat="1" applyFont="1" applyBorder="1" applyAlignment="1">
      <alignment horizontal="center" vertical="center"/>
    </xf>
    <xf numFmtId="171" fontId="2" fillId="0" borderId="32" xfId="0" applyNumberFormat="1" applyFont="1" applyBorder="1" applyAlignment="1">
      <alignment horizontal="center" vertical="center"/>
    </xf>
    <xf numFmtId="171" fontId="2" fillId="0" borderId="46" xfId="0" applyNumberFormat="1" applyFont="1" applyBorder="1" applyAlignment="1">
      <alignment horizontal="center" vertical="center"/>
    </xf>
    <xf numFmtId="0" fontId="4" fillId="14" borderId="96" xfId="0" applyFont="1" applyFill="1" applyBorder="1" applyAlignment="1">
      <alignment horizontal="center" vertical="center" wrapText="1"/>
    </xf>
    <xf numFmtId="0" fontId="4" fillId="14" borderId="97" xfId="0" applyFont="1" applyFill="1" applyBorder="1" applyAlignment="1">
      <alignment horizontal="center" vertical="center" wrapText="1"/>
    </xf>
    <xf numFmtId="0" fontId="4" fillId="14" borderId="154" xfId="0" applyFont="1" applyFill="1" applyBorder="1" applyAlignment="1">
      <alignment horizontal="center" vertical="center" wrapText="1"/>
    </xf>
    <xf numFmtId="0" fontId="4" fillId="14" borderId="14" xfId="0" applyFont="1" applyFill="1" applyBorder="1" applyAlignment="1">
      <alignment horizontal="left" vertical="center" wrapText="1"/>
    </xf>
    <xf numFmtId="0" fontId="4" fillId="14" borderId="92" xfId="0" applyFont="1" applyFill="1" applyBorder="1" applyAlignment="1">
      <alignment horizontal="left" vertical="center" wrapText="1"/>
    </xf>
    <xf numFmtId="0" fontId="4" fillId="14" borderId="153" xfId="0" applyFont="1" applyFill="1" applyBorder="1" applyAlignment="1">
      <alignment horizontal="left" vertical="center" wrapText="1"/>
    </xf>
    <xf numFmtId="0" fontId="3" fillId="0" borderId="63" xfId="0" applyFont="1" applyBorder="1" applyAlignment="1">
      <alignment horizontal="center" vertical="center"/>
    </xf>
    <xf numFmtId="0" fontId="3" fillId="0" borderId="37" xfId="0" applyFont="1" applyBorder="1" applyAlignment="1">
      <alignment horizontal="center" vertical="center"/>
    </xf>
    <xf numFmtId="0" fontId="3" fillId="0" borderId="38" xfId="0" applyFont="1" applyBorder="1" applyAlignment="1">
      <alignment horizontal="center" vertical="center"/>
    </xf>
    <xf numFmtId="16" fontId="0" fillId="0" borderId="22" xfId="0" applyNumberFormat="1" applyBorder="1" applyAlignment="1">
      <alignment horizontal="center" vertical="center"/>
    </xf>
    <xf numFmtId="16" fontId="0" fillId="0" borderId="16" xfId="0" applyNumberFormat="1" applyBorder="1" applyAlignment="1">
      <alignment horizontal="center" vertical="center"/>
    </xf>
    <xf numFmtId="16" fontId="0" fillId="0" borderId="23" xfId="0" applyNumberFormat="1" applyBorder="1" applyAlignment="1">
      <alignment horizontal="center" vertical="center"/>
    </xf>
    <xf numFmtId="171" fontId="4" fillId="0" borderId="47" xfId="0" applyNumberFormat="1" applyFont="1" applyBorder="1" applyAlignment="1">
      <alignment horizontal="center" vertical="center" wrapText="1"/>
    </xf>
    <xf numFmtId="0" fontId="4" fillId="14" borderId="34" xfId="0" applyFont="1" applyFill="1" applyBorder="1" applyAlignment="1">
      <alignment horizontal="left" vertical="center" wrapText="1"/>
    </xf>
    <xf numFmtId="171" fontId="4" fillId="0" borderId="39" xfId="0" applyNumberFormat="1" applyFont="1" applyBorder="1" applyAlignment="1">
      <alignment horizontal="center" vertical="center" wrapText="1"/>
    </xf>
    <xf numFmtId="0" fontId="2" fillId="0" borderId="45" xfId="0" applyFont="1" applyBorder="1" applyAlignment="1" applyProtection="1">
      <alignment horizontal="left" vertical="center"/>
      <protection locked="0"/>
    </xf>
    <xf numFmtId="0" fontId="0" fillId="0" borderId="22" xfId="0" applyBorder="1" applyAlignment="1" applyProtection="1">
      <alignment horizontal="left" vertical="center"/>
      <protection locked="0"/>
    </xf>
    <xf numFmtId="0" fontId="0" fillId="0" borderId="16" xfId="0"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2" fillId="0" borderId="22"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31" xfId="0" applyFont="1" applyBorder="1" applyAlignment="1">
      <alignment horizontal="center" vertical="center"/>
    </xf>
    <xf numFmtId="0" fontId="4" fillId="14" borderId="17" xfId="0" applyFont="1" applyFill="1" applyBorder="1" applyAlignment="1">
      <alignment horizontal="left" vertical="center" wrapText="1"/>
    </xf>
    <xf numFmtId="0" fontId="2" fillId="0" borderId="16"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14" borderId="119" xfId="0" applyFont="1" applyFill="1" applyBorder="1" applyAlignment="1">
      <alignment horizontal="left" vertical="center" wrapText="1"/>
    </xf>
    <xf numFmtId="0" fontId="3" fillId="0" borderId="45" xfId="0" applyFont="1" applyBorder="1" applyAlignment="1">
      <alignment horizontal="center" vertical="center"/>
    </xf>
    <xf numFmtId="0" fontId="4" fillId="14" borderId="155" xfId="0" applyFont="1" applyFill="1" applyBorder="1" applyAlignment="1">
      <alignment horizontal="left" vertical="center" wrapText="1"/>
    </xf>
    <xf numFmtId="0" fontId="4" fillId="14" borderId="39" xfId="0" applyFont="1" applyFill="1" applyBorder="1" applyAlignment="1">
      <alignment horizontal="left" vertical="center" wrapText="1"/>
    </xf>
    <xf numFmtId="0" fontId="4" fillId="14" borderId="11" xfId="0" applyFont="1" applyFill="1" applyBorder="1" applyAlignment="1">
      <alignment horizontal="left" vertical="center" wrapText="1"/>
    </xf>
    <xf numFmtId="0" fontId="3" fillId="0" borderId="29" xfId="0" applyFont="1" applyBorder="1" applyAlignment="1">
      <alignment horizontal="center" vertical="center"/>
    </xf>
    <xf numFmtId="0" fontId="3" fillId="0" borderId="0" xfId="0" applyFont="1" applyAlignment="1">
      <alignment horizontal="center" vertical="center"/>
    </xf>
    <xf numFmtId="0" fontId="3" fillId="0" borderId="90" xfId="0" applyFont="1" applyBorder="1" applyAlignment="1">
      <alignment horizontal="center" vertical="center"/>
    </xf>
    <xf numFmtId="171" fontId="4" fillId="0" borderId="14" xfId="0" applyNumberFormat="1" applyFont="1" applyBorder="1" applyAlignment="1">
      <alignment horizontal="center" vertical="center" wrapText="1"/>
    </xf>
    <xf numFmtId="171" fontId="4" fillId="0" borderId="6" xfId="0" applyNumberFormat="1" applyFont="1" applyBorder="1" applyAlignment="1">
      <alignment horizontal="center" vertical="center" wrapText="1"/>
    </xf>
    <xf numFmtId="171" fontId="4" fillId="0" borderId="130"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2" fillId="0" borderId="84"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32" xfId="0" applyFont="1" applyBorder="1" applyAlignment="1" applyProtection="1">
      <alignment horizontal="center" vertical="center"/>
      <protection locked="0"/>
    </xf>
    <xf numFmtId="0" fontId="2" fillId="0" borderId="52"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cellXfs>
  <cellStyles count="1899">
    <cellStyle name="Insatisfaisant" xfId="684" builtinId="27"/>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31" builtinId="8" hidden="1"/>
    <cellStyle name="Lien hypertexte" xfId="33" builtinId="8" hidden="1"/>
    <cellStyle name="Lien hypertexte" xfId="35" builtinId="8" hidden="1"/>
    <cellStyle name="Lien hypertexte" xfId="37" builtinId="8" hidden="1"/>
    <cellStyle name="Lien hypertexte" xfId="39" builtinId="8" hidden="1"/>
    <cellStyle name="Lien hypertexte" xfId="41" builtinId="8" hidden="1"/>
    <cellStyle name="Lien hypertexte" xfId="43" builtinId="8" hidden="1"/>
    <cellStyle name="Lien hypertexte" xfId="45" builtinId="8" hidden="1"/>
    <cellStyle name="Lien hypertexte" xfId="47" builtinId="8" hidden="1"/>
    <cellStyle name="Lien hypertexte" xfId="49" builtinId="8" hidden="1"/>
    <cellStyle name="Lien hypertexte" xfId="51" builtinId="8" hidden="1"/>
    <cellStyle name="Lien hypertexte" xfId="53" builtinId="8" hidden="1"/>
    <cellStyle name="Lien hypertexte" xfId="55" builtinId="8" hidden="1"/>
    <cellStyle name="Lien hypertexte" xfId="57" builtinId="8" hidden="1"/>
    <cellStyle name="Lien hypertexte" xfId="59" builtinId="8" hidden="1"/>
    <cellStyle name="Lien hypertexte" xfId="61" builtinId="8" hidden="1"/>
    <cellStyle name="Lien hypertexte" xfId="63" builtinId="8" hidden="1"/>
    <cellStyle name="Lien hypertexte" xfId="65" builtinId="8" hidden="1"/>
    <cellStyle name="Lien hypertexte" xfId="67" builtinId="8" hidden="1"/>
    <cellStyle name="Lien hypertexte" xfId="69" builtinId="8" hidden="1"/>
    <cellStyle name="Lien hypertexte" xfId="71" builtinId="8" hidden="1"/>
    <cellStyle name="Lien hypertexte" xfId="73" builtinId="8" hidden="1"/>
    <cellStyle name="Lien hypertexte" xfId="75" builtinId="8" hidden="1"/>
    <cellStyle name="Lien hypertexte" xfId="77" builtinId="8" hidden="1"/>
    <cellStyle name="Lien hypertexte" xfId="79" builtinId="8" hidden="1"/>
    <cellStyle name="Lien hypertexte" xfId="81" builtinId="8" hidden="1"/>
    <cellStyle name="Lien hypertexte" xfId="83" builtinId="8" hidden="1"/>
    <cellStyle name="Lien hypertexte" xfId="85" builtinId="8" hidden="1"/>
    <cellStyle name="Lien hypertexte" xfId="87" builtinId="8" hidden="1"/>
    <cellStyle name="Lien hypertexte" xfId="89" builtinId="8" hidden="1"/>
    <cellStyle name="Lien hypertexte" xfId="91" builtinId="8" hidden="1"/>
    <cellStyle name="Lien hypertexte" xfId="93" builtinId="8" hidden="1"/>
    <cellStyle name="Lien hypertexte" xfId="95" builtinId="8" hidden="1"/>
    <cellStyle name="Lien hypertexte" xfId="97" builtinId="8" hidden="1"/>
    <cellStyle name="Lien hypertexte" xfId="99" builtinId="8" hidden="1"/>
    <cellStyle name="Lien hypertexte" xfId="101" builtinId="8" hidden="1"/>
    <cellStyle name="Lien hypertexte" xfId="103" builtinId="8" hidden="1"/>
    <cellStyle name="Lien hypertexte" xfId="105" builtinId="8" hidden="1"/>
    <cellStyle name="Lien hypertexte" xfId="107" builtinId="8" hidden="1"/>
    <cellStyle name="Lien hypertexte" xfId="109" builtinId="8" hidden="1"/>
    <cellStyle name="Lien hypertexte" xfId="111" builtinId="8" hidden="1"/>
    <cellStyle name="Lien hypertexte" xfId="113" builtinId="8" hidden="1"/>
    <cellStyle name="Lien hypertexte" xfId="115" builtinId="8" hidden="1"/>
    <cellStyle name="Lien hypertexte" xfId="117" builtinId="8" hidden="1"/>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5" builtinId="8" hidden="1"/>
    <cellStyle name="Lien hypertexte" xfId="147" builtinId="8" hidden="1"/>
    <cellStyle name="Lien hypertexte" xfId="149" builtinId="8" hidden="1"/>
    <cellStyle name="Lien hypertexte" xfId="151" builtinId="8" hidden="1"/>
    <cellStyle name="Lien hypertexte" xfId="153" builtinId="8" hidden="1"/>
    <cellStyle name="Lien hypertexte" xfId="156" builtinId="8" hidden="1"/>
    <cellStyle name="Lien hypertexte" xfId="158" builtinId="8" hidden="1"/>
    <cellStyle name="Lien hypertexte" xfId="160" builtinId="8" hidden="1"/>
    <cellStyle name="Lien hypertexte" xfId="162" builtinId="8" hidden="1"/>
    <cellStyle name="Lien hypertexte" xfId="164" builtinId="8" hidden="1"/>
    <cellStyle name="Lien hypertexte" xfId="166" builtinId="8" hidden="1"/>
    <cellStyle name="Lien hypertexte" xfId="168" builtinId="8" hidden="1"/>
    <cellStyle name="Lien hypertexte" xfId="170" builtinId="8" hidden="1"/>
    <cellStyle name="Lien hypertexte" xfId="172" builtinId="8" hidden="1"/>
    <cellStyle name="Lien hypertexte" xfId="174" builtinId="8" hidden="1"/>
    <cellStyle name="Lien hypertexte" xfId="176" builtinId="8" hidden="1"/>
    <cellStyle name="Lien hypertexte" xfId="178" builtinId="8" hidden="1"/>
    <cellStyle name="Lien hypertexte" xfId="180" builtinId="8" hidden="1"/>
    <cellStyle name="Lien hypertexte" xfId="182" builtinId="8" hidden="1"/>
    <cellStyle name="Lien hypertexte" xfId="184" builtinId="8" hidden="1"/>
    <cellStyle name="Lien hypertexte" xfId="186" builtinId="8" hidden="1"/>
    <cellStyle name="Lien hypertexte" xfId="188" builtinId="8" hidden="1"/>
    <cellStyle name="Lien hypertexte" xfId="190" builtinId="8" hidden="1"/>
    <cellStyle name="Lien hypertexte" xfId="192" builtinId="8" hidden="1"/>
    <cellStyle name="Lien hypertexte" xfId="194" builtinId="8" hidden="1"/>
    <cellStyle name="Lien hypertexte" xfId="196" builtinId="8" hidden="1"/>
    <cellStyle name="Lien hypertexte" xfId="198" builtinId="8" hidden="1"/>
    <cellStyle name="Lien hypertexte" xfId="200" builtinId="8" hidden="1"/>
    <cellStyle name="Lien hypertexte" xfId="202" builtinId="8" hidden="1"/>
    <cellStyle name="Lien hypertexte" xfId="204" builtinId="8" hidden="1"/>
    <cellStyle name="Lien hypertexte" xfId="206" builtinId="8" hidden="1"/>
    <cellStyle name="Lien hypertexte" xfId="208" builtinId="8" hidden="1"/>
    <cellStyle name="Lien hypertexte" xfId="210" builtinId="8" hidden="1"/>
    <cellStyle name="Lien hypertexte" xfId="212" builtinId="8" hidden="1"/>
    <cellStyle name="Lien hypertexte" xfId="214" builtinId="8" hidden="1"/>
    <cellStyle name="Lien hypertexte" xfId="216" builtinId="8" hidden="1"/>
    <cellStyle name="Lien hypertexte" xfId="218" builtinId="8" hidden="1"/>
    <cellStyle name="Lien hypertexte" xfId="220" builtinId="8" hidden="1"/>
    <cellStyle name="Lien hypertexte" xfId="222" builtinId="8" hidden="1"/>
    <cellStyle name="Lien hypertexte" xfId="224" builtinId="8" hidden="1"/>
    <cellStyle name="Lien hypertexte" xfId="226" builtinId="8" hidden="1"/>
    <cellStyle name="Lien hypertexte" xfId="228" builtinId="8" hidden="1"/>
    <cellStyle name="Lien hypertexte" xfId="230" builtinId="8" hidden="1"/>
    <cellStyle name="Lien hypertexte" xfId="232" builtinId="8" hidden="1"/>
    <cellStyle name="Lien hypertexte" xfId="234" builtinId="8" hidden="1"/>
    <cellStyle name="Lien hypertexte" xfId="236" builtinId="8" hidden="1"/>
    <cellStyle name="Lien hypertexte" xfId="238" builtinId="8" hidden="1"/>
    <cellStyle name="Lien hypertexte" xfId="240" builtinId="8" hidden="1"/>
    <cellStyle name="Lien hypertexte" xfId="242" builtinId="8" hidden="1"/>
    <cellStyle name="Lien hypertexte" xfId="244" builtinId="8" hidden="1"/>
    <cellStyle name="Lien hypertexte" xfId="246" builtinId="8" hidden="1"/>
    <cellStyle name="Lien hypertexte" xfId="248" builtinId="8" hidden="1"/>
    <cellStyle name="Lien hypertexte" xfId="250" builtinId="8" hidden="1"/>
    <cellStyle name="Lien hypertexte" xfId="252" builtinId="8" hidden="1"/>
    <cellStyle name="Lien hypertexte" xfId="254" builtinId="8" hidden="1"/>
    <cellStyle name="Lien hypertexte" xfId="256" builtinId="8" hidden="1"/>
    <cellStyle name="Lien hypertexte" xfId="258" builtinId="8" hidden="1"/>
    <cellStyle name="Lien hypertexte" xfId="260" builtinId="8" hidden="1"/>
    <cellStyle name="Lien hypertexte" xfId="262" builtinId="8" hidden="1"/>
    <cellStyle name="Lien hypertexte" xfId="264" builtinId="8" hidden="1"/>
    <cellStyle name="Lien hypertexte" xfId="266" builtinId="8" hidden="1"/>
    <cellStyle name="Lien hypertexte" xfId="268" builtinId="8" hidden="1"/>
    <cellStyle name="Lien hypertexte" xfId="270" builtinId="8" hidden="1"/>
    <cellStyle name="Lien hypertexte" xfId="272" builtinId="8" hidden="1"/>
    <cellStyle name="Lien hypertexte" xfId="274" builtinId="8" hidden="1"/>
    <cellStyle name="Lien hypertexte" xfId="276" builtinId="8" hidden="1"/>
    <cellStyle name="Lien hypertexte" xfId="278" builtinId="8" hidden="1"/>
    <cellStyle name="Lien hypertexte" xfId="280" builtinId="8" hidden="1"/>
    <cellStyle name="Lien hypertexte" xfId="282" builtinId="8" hidden="1"/>
    <cellStyle name="Lien hypertexte" xfId="284" builtinId="8" hidden="1"/>
    <cellStyle name="Lien hypertexte" xfId="286" builtinId="8" hidden="1"/>
    <cellStyle name="Lien hypertexte" xfId="288" builtinId="8" hidden="1"/>
    <cellStyle name="Lien hypertexte" xfId="290" builtinId="8" hidden="1"/>
    <cellStyle name="Lien hypertexte" xfId="292" builtinId="8" hidden="1"/>
    <cellStyle name="Lien hypertexte" xfId="294" builtinId="8" hidden="1"/>
    <cellStyle name="Lien hypertexte" xfId="296" builtinId="8" hidden="1"/>
    <cellStyle name="Lien hypertexte" xfId="298" builtinId="8" hidden="1"/>
    <cellStyle name="Lien hypertexte" xfId="300" builtinId="8" hidden="1"/>
    <cellStyle name="Lien hypertexte" xfId="302" builtinId="8" hidden="1"/>
    <cellStyle name="Lien hypertexte" xfId="304" builtinId="8" hidden="1"/>
    <cellStyle name="Lien hypertexte" xfId="306" builtinId="8" hidden="1"/>
    <cellStyle name="Lien hypertexte" xfId="308" builtinId="8" hidden="1"/>
    <cellStyle name="Lien hypertexte" xfId="310" builtinId="8" hidden="1"/>
    <cellStyle name="Lien hypertexte" xfId="312" builtinId="8" hidden="1"/>
    <cellStyle name="Lien hypertexte" xfId="314" builtinId="8" hidden="1"/>
    <cellStyle name="Lien hypertexte" xfId="316" builtinId="8" hidden="1"/>
    <cellStyle name="Lien hypertexte" xfId="318" builtinId="8" hidden="1"/>
    <cellStyle name="Lien hypertexte" xfId="320" builtinId="8" hidden="1"/>
    <cellStyle name="Lien hypertexte" xfId="322" builtinId="8" hidden="1"/>
    <cellStyle name="Lien hypertexte" xfId="324" builtinId="8" hidden="1"/>
    <cellStyle name="Lien hypertexte" xfId="326" builtinId="8" hidden="1"/>
    <cellStyle name="Lien hypertexte" xfId="328" builtinId="8" hidden="1"/>
    <cellStyle name="Lien hypertexte" xfId="330" builtinId="8" hidden="1"/>
    <cellStyle name="Lien hypertexte" xfId="332" builtinId="8" hidden="1"/>
    <cellStyle name="Lien hypertexte" xfId="334" builtinId="8" hidden="1"/>
    <cellStyle name="Lien hypertexte" xfId="336" builtinId="8" hidden="1"/>
    <cellStyle name="Lien hypertexte" xfId="338" builtinId="8" hidden="1"/>
    <cellStyle name="Lien hypertexte" xfId="340" builtinId="8" hidden="1"/>
    <cellStyle name="Lien hypertexte" xfId="342" builtinId="8" hidden="1"/>
    <cellStyle name="Lien hypertexte" xfId="344" builtinId="8" hidden="1"/>
    <cellStyle name="Lien hypertexte" xfId="346" builtinId="8" hidden="1"/>
    <cellStyle name="Lien hypertexte" xfId="348" builtinId="8" hidden="1"/>
    <cellStyle name="Lien hypertexte" xfId="350" builtinId="8" hidden="1"/>
    <cellStyle name="Lien hypertexte" xfId="352" builtinId="8" hidden="1"/>
    <cellStyle name="Lien hypertexte" xfId="354" builtinId="8" hidden="1"/>
    <cellStyle name="Lien hypertexte" xfId="356" builtinId="8" hidden="1"/>
    <cellStyle name="Lien hypertexte" xfId="358" builtinId="8" hidden="1"/>
    <cellStyle name="Lien hypertexte" xfId="360" builtinId="8" hidden="1"/>
    <cellStyle name="Lien hypertexte" xfId="362" builtinId="8" hidden="1"/>
    <cellStyle name="Lien hypertexte" xfId="364" builtinId="8" hidden="1"/>
    <cellStyle name="Lien hypertexte" xfId="366" builtinId="8" hidden="1"/>
    <cellStyle name="Lien hypertexte" xfId="368" builtinId="8" hidden="1"/>
    <cellStyle name="Lien hypertexte" xfId="370" builtinId="8" hidden="1"/>
    <cellStyle name="Lien hypertexte" xfId="372" builtinId="8" hidden="1"/>
    <cellStyle name="Lien hypertexte" xfId="374" builtinId="8" hidden="1"/>
    <cellStyle name="Lien hypertexte" xfId="376" builtinId="8" hidden="1"/>
    <cellStyle name="Lien hypertexte" xfId="378" builtinId="8" hidden="1"/>
    <cellStyle name="Lien hypertexte" xfId="380" builtinId="8" hidden="1"/>
    <cellStyle name="Lien hypertexte" xfId="382" builtinId="8" hidden="1"/>
    <cellStyle name="Lien hypertexte" xfId="384" builtinId="8" hidden="1"/>
    <cellStyle name="Lien hypertexte" xfId="386" builtinId="8" hidden="1"/>
    <cellStyle name="Lien hypertexte" xfId="388" builtinId="8" hidden="1"/>
    <cellStyle name="Lien hypertexte" xfId="390" builtinId="8" hidden="1"/>
    <cellStyle name="Lien hypertexte" xfId="392" builtinId="8" hidden="1"/>
    <cellStyle name="Lien hypertexte" xfId="394" builtinId="8" hidden="1"/>
    <cellStyle name="Lien hypertexte" xfId="396" builtinId="8" hidden="1"/>
    <cellStyle name="Lien hypertexte" xfId="398" builtinId="8" hidden="1"/>
    <cellStyle name="Lien hypertexte" xfId="400" builtinId="8" hidden="1"/>
    <cellStyle name="Lien hypertexte" xfId="402" builtinId="8" hidden="1"/>
    <cellStyle name="Lien hypertexte" xfId="404" builtinId="8" hidden="1"/>
    <cellStyle name="Lien hypertexte" xfId="406" builtinId="8" hidden="1"/>
    <cellStyle name="Lien hypertexte" xfId="408" builtinId="8" hidden="1"/>
    <cellStyle name="Lien hypertexte" xfId="410" builtinId="8" hidden="1"/>
    <cellStyle name="Lien hypertexte" xfId="412" builtinId="8" hidden="1"/>
    <cellStyle name="Lien hypertexte" xfId="414" builtinId="8" hidden="1"/>
    <cellStyle name="Lien hypertexte" xfId="416" builtinId="8" hidden="1"/>
    <cellStyle name="Lien hypertexte" xfId="418" builtinId="8" hidden="1"/>
    <cellStyle name="Lien hypertexte" xfId="420" builtinId="8" hidden="1"/>
    <cellStyle name="Lien hypertexte" xfId="422" builtinId="8" hidden="1"/>
    <cellStyle name="Lien hypertexte" xfId="424" builtinId="8" hidden="1"/>
    <cellStyle name="Lien hypertexte" xfId="426" builtinId="8" hidden="1"/>
    <cellStyle name="Lien hypertexte" xfId="428" builtinId="8" hidden="1"/>
    <cellStyle name="Lien hypertexte" xfId="430" builtinId="8" hidden="1"/>
    <cellStyle name="Lien hypertexte" xfId="432" builtinId="8" hidden="1"/>
    <cellStyle name="Lien hypertexte" xfId="434" builtinId="8" hidden="1"/>
    <cellStyle name="Lien hypertexte" xfId="436" builtinId="8" hidden="1"/>
    <cellStyle name="Lien hypertexte" xfId="438" builtinId="8" hidden="1"/>
    <cellStyle name="Lien hypertexte" xfId="440" builtinId="8" hidden="1"/>
    <cellStyle name="Lien hypertexte" xfId="442" builtinId="8" hidden="1"/>
    <cellStyle name="Lien hypertexte" xfId="444" builtinId="8" hidden="1"/>
    <cellStyle name="Lien hypertexte" xfId="446" builtinId="8" hidden="1"/>
    <cellStyle name="Lien hypertexte" xfId="448" builtinId="8" hidden="1"/>
    <cellStyle name="Lien hypertexte" xfId="450" builtinId="8" hidden="1"/>
    <cellStyle name="Lien hypertexte" xfId="452" builtinId="8" hidden="1"/>
    <cellStyle name="Lien hypertexte" xfId="454" builtinId="8" hidden="1"/>
    <cellStyle name="Lien hypertexte" xfId="456" builtinId="8" hidden="1"/>
    <cellStyle name="Lien hypertexte" xfId="458" builtinId="8" hidden="1"/>
    <cellStyle name="Lien hypertexte" xfId="460" builtinId="8" hidden="1"/>
    <cellStyle name="Lien hypertexte" xfId="462" builtinId="8" hidden="1"/>
    <cellStyle name="Lien hypertexte" xfId="464" builtinId="8" hidden="1"/>
    <cellStyle name="Lien hypertexte" xfId="466" builtinId="8" hidden="1"/>
    <cellStyle name="Lien hypertexte" xfId="468" builtinId="8" hidden="1"/>
    <cellStyle name="Lien hypertexte" xfId="470" builtinId="8" hidden="1"/>
    <cellStyle name="Lien hypertexte" xfId="472" builtinId="8" hidden="1"/>
    <cellStyle name="Lien hypertexte" xfId="474" builtinId="8" hidden="1"/>
    <cellStyle name="Lien hypertexte" xfId="476" builtinId="8" hidden="1"/>
    <cellStyle name="Lien hypertexte" xfId="478" builtinId="8" hidden="1"/>
    <cellStyle name="Lien hypertexte" xfId="480" builtinId="8" hidden="1"/>
    <cellStyle name="Lien hypertexte" xfId="482" builtinId="8" hidden="1"/>
    <cellStyle name="Lien hypertexte" xfId="484" builtinId="8" hidden="1"/>
    <cellStyle name="Lien hypertexte" xfId="486" builtinId="8" hidden="1"/>
    <cellStyle name="Lien hypertexte" xfId="488" builtinId="8" hidden="1"/>
    <cellStyle name="Lien hypertexte" xfId="490" builtinId="8" hidden="1"/>
    <cellStyle name="Lien hypertexte" xfId="492" builtinId="8" hidden="1"/>
    <cellStyle name="Lien hypertexte" xfId="494" builtinId="8" hidden="1"/>
    <cellStyle name="Lien hypertexte" xfId="496" builtinId="8" hidden="1"/>
    <cellStyle name="Lien hypertexte" xfId="498" builtinId="8" hidden="1"/>
    <cellStyle name="Lien hypertexte" xfId="500" builtinId="8" hidden="1"/>
    <cellStyle name="Lien hypertexte" xfId="502" builtinId="8" hidden="1"/>
    <cellStyle name="Lien hypertexte" xfId="504" builtinId="8" hidden="1"/>
    <cellStyle name="Lien hypertexte" xfId="506" builtinId="8" hidden="1"/>
    <cellStyle name="Lien hypertexte" xfId="508" builtinId="8" hidden="1"/>
    <cellStyle name="Lien hypertexte" xfId="510" builtinId="8" hidden="1"/>
    <cellStyle name="Lien hypertexte" xfId="512" builtinId="8" hidden="1"/>
    <cellStyle name="Lien hypertexte" xfId="514" builtinId="8" hidden="1"/>
    <cellStyle name="Lien hypertexte" xfId="516" builtinId="8" hidden="1"/>
    <cellStyle name="Lien hypertexte" xfId="518" builtinId="8" hidden="1"/>
    <cellStyle name="Lien hypertexte" xfId="520" builtinId="8" hidden="1"/>
    <cellStyle name="Lien hypertexte" xfId="522" builtinId="8" hidden="1"/>
    <cellStyle name="Lien hypertexte" xfId="524" builtinId="8" hidden="1"/>
    <cellStyle name="Lien hypertexte" xfId="526" builtinId="8" hidden="1"/>
    <cellStyle name="Lien hypertexte" xfId="528" builtinId="8" hidden="1"/>
    <cellStyle name="Lien hypertexte" xfId="530" builtinId="8" hidden="1"/>
    <cellStyle name="Lien hypertexte" xfId="532" builtinId="8" hidden="1"/>
    <cellStyle name="Lien hypertexte" xfId="534" builtinId="8" hidden="1"/>
    <cellStyle name="Lien hypertexte" xfId="536" builtinId="8" hidden="1"/>
    <cellStyle name="Lien hypertexte" xfId="538" builtinId="8" hidden="1"/>
    <cellStyle name="Lien hypertexte" xfId="540" builtinId="8" hidden="1"/>
    <cellStyle name="Lien hypertexte" xfId="542" builtinId="8" hidden="1"/>
    <cellStyle name="Lien hypertexte" xfId="544" builtinId="8" hidden="1"/>
    <cellStyle name="Lien hypertexte" xfId="546" builtinId="8" hidden="1"/>
    <cellStyle name="Lien hypertexte" xfId="548" builtinId="8" hidden="1"/>
    <cellStyle name="Lien hypertexte" xfId="550" builtinId="8" hidden="1"/>
    <cellStyle name="Lien hypertexte" xfId="552" builtinId="8" hidden="1"/>
    <cellStyle name="Lien hypertexte" xfId="554" builtinId="8" hidden="1"/>
    <cellStyle name="Lien hypertexte" xfId="556" builtinId="8" hidden="1"/>
    <cellStyle name="Lien hypertexte" xfId="558" builtinId="8" hidden="1"/>
    <cellStyle name="Lien hypertexte" xfId="560" builtinId="8" hidden="1"/>
    <cellStyle name="Lien hypertexte" xfId="562" builtinId="8" hidden="1"/>
    <cellStyle name="Lien hypertexte" xfId="564" builtinId="8" hidden="1"/>
    <cellStyle name="Lien hypertexte" xfId="566" builtinId="8" hidden="1"/>
    <cellStyle name="Lien hypertexte" xfId="568" builtinId="8" hidden="1"/>
    <cellStyle name="Lien hypertexte" xfId="570" builtinId="8" hidden="1"/>
    <cellStyle name="Lien hypertexte" xfId="572" builtinId="8" hidden="1"/>
    <cellStyle name="Lien hypertexte" xfId="574" builtinId="8" hidden="1"/>
    <cellStyle name="Lien hypertexte" xfId="576" builtinId="8" hidden="1"/>
    <cellStyle name="Lien hypertexte" xfId="578" builtinId="8" hidden="1"/>
    <cellStyle name="Lien hypertexte" xfId="580" builtinId="8" hidden="1"/>
    <cellStyle name="Lien hypertexte" xfId="582" builtinId="8" hidden="1"/>
    <cellStyle name="Lien hypertexte" xfId="584" builtinId="8" hidden="1"/>
    <cellStyle name="Lien hypertexte" xfId="586" builtinId="8" hidden="1"/>
    <cellStyle name="Lien hypertexte" xfId="588" builtinId="8" hidden="1"/>
    <cellStyle name="Lien hypertexte" xfId="590" builtinId="8" hidden="1"/>
    <cellStyle name="Lien hypertexte" xfId="592" builtinId="8" hidden="1"/>
    <cellStyle name="Lien hypertexte" xfId="594" builtinId="8" hidden="1"/>
    <cellStyle name="Lien hypertexte" xfId="596" builtinId="8" hidden="1"/>
    <cellStyle name="Lien hypertexte" xfId="598" builtinId="8" hidden="1"/>
    <cellStyle name="Lien hypertexte" xfId="600" builtinId="8" hidden="1"/>
    <cellStyle name="Lien hypertexte" xfId="602" builtinId="8" hidden="1"/>
    <cellStyle name="Lien hypertexte" xfId="604" builtinId="8" hidden="1"/>
    <cellStyle name="Lien hypertexte" xfId="606" builtinId="8" hidden="1"/>
    <cellStyle name="Lien hypertexte" xfId="608" builtinId="8" hidden="1"/>
    <cellStyle name="Lien hypertexte" xfId="610" builtinId="8" hidden="1"/>
    <cellStyle name="Lien hypertexte" xfId="612" builtinId="8" hidden="1"/>
    <cellStyle name="Lien hypertexte" xfId="614" builtinId="8" hidden="1"/>
    <cellStyle name="Lien hypertexte" xfId="616" builtinId="8" hidden="1"/>
    <cellStyle name="Lien hypertexte" xfId="618" builtinId="8" hidden="1"/>
    <cellStyle name="Lien hypertexte" xfId="620" builtinId="8" hidden="1"/>
    <cellStyle name="Lien hypertexte" xfId="622" builtinId="8" hidden="1"/>
    <cellStyle name="Lien hypertexte" xfId="624" builtinId="8" hidden="1"/>
    <cellStyle name="Lien hypertexte" xfId="626" builtinId="8" hidden="1"/>
    <cellStyle name="Lien hypertexte" xfId="628" builtinId="8" hidden="1"/>
    <cellStyle name="Lien hypertexte" xfId="630" builtinId="8" hidden="1"/>
    <cellStyle name="Lien hypertexte" xfId="632" builtinId="8" hidden="1"/>
    <cellStyle name="Lien hypertexte" xfId="634" builtinId="8" hidden="1"/>
    <cellStyle name="Lien hypertexte" xfId="636" builtinId="8" hidden="1"/>
    <cellStyle name="Lien hypertexte" xfId="638" builtinId="8" hidden="1"/>
    <cellStyle name="Lien hypertexte" xfId="640" builtinId="8" hidden="1"/>
    <cellStyle name="Lien hypertexte" xfId="642" builtinId="8" hidden="1"/>
    <cellStyle name="Lien hypertexte" xfId="644" builtinId="8" hidden="1"/>
    <cellStyle name="Lien hypertexte" xfId="646" builtinId="8" hidden="1"/>
    <cellStyle name="Lien hypertexte" xfId="648" builtinId="8" hidden="1"/>
    <cellStyle name="Lien hypertexte" xfId="650" builtinId="8" hidden="1"/>
    <cellStyle name="Lien hypertexte" xfId="652" builtinId="8" hidden="1"/>
    <cellStyle name="Lien hypertexte" xfId="654" builtinId="8" hidden="1"/>
    <cellStyle name="Lien hypertexte" xfId="656" builtinId="8" hidden="1"/>
    <cellStyle name="Lien hypertexte" xfId="658" builtinId="8" hidden="1"/>
    <cellStyle name="Lien hypertexte" xfId="660" builtinId="8" hidden="1"/>
    <cellStyle name="Lien hypertexte" xfId="662" builtinId="8" hidden="1"/>
    <cellStyle name="Lien hypertexte" xfId="664" builtinId="8" hidden="1"/>
    <cellStyle name="Lien hypertexte" xfId="666" builtinId="8" hidden="1"/>
    <cellStyle name="Lien hypertexte" xfId="668" builtinId="8" hidden="1"/>
    <cellStyle name="Lien hypertexte" xfId="670" builtinId="8" hidden="1"/>
    <cellStyle name="Lien hypertexte" xfId="672" builtinId="8" hidden="1"/>
    <cellStyle name="Lien hypertexte" xfId="674" builtinId="8" hidden="1"/>
    <cellStyle name="Lien hypertexte" xfId="676" builtinId="8" hidden="1"/>
    <cellStyle name="Lien hypertexte" xfId="678" builtinId="8" hidden="1"/>
    <cellStyle name="Lien hypertexte" xfId="680" builtinId="8" hidden="1"/>
    <cellStyle name="Lien hypertexte" xfId="682" builtinId="8" hidden="1"/>
    <cellStyle name="Lien hypertexte" xfId="685" builtinId="8" hidden="1"/>
    <cellStyle name="Lien hypertexte" xfId="687" builtinId="8" hidden="1"/>
    <cellStyle name="Lien hypertexte" xfId="689" builtinId="8" hidden="1"/>
    <cellStyle name="Lien hypertexte" xfId="691" builtinId="8" hidden="1"/>
    <cellStyle name="Lien hypertexte" xfId="693" builtinId="8" hidden="1"/>
    <cellStyle name="Lien hypertexte" xfId="695" builtinId="8" hidden="1"/>
    <cellStyle name="Lien hypertexte" xfId="697" builtinId="8" hidden="1"/>
    <cellStyle name="Lien hypertexte" xfId="699" builtinId="8" hidden="1"/>
    <cellStyle name="Lien hypertexte" xfId="701" builtinId="8" hidden="1"/>
    <cellStyle name="Lien hypertexte" xfId="703" builtinId="8" hidden="1"/>
    <cellStyle name="Lien hypertexte" xfId="705" builtinId="8" hidden="1"/>
    <cellStyle name="Lien hypertexte" xfId="707" builtinId="8" hidden="1"/>
    <cellStyle name="Lien hypertexte" xfId="709" builtinId="8" hidden="1"/>
    <cellStyle name="Lien hypertexte" xfId="711" builtinId="8" hidden="1"/>
    <cellStyle name="Lien hypertexte" xfId="713" builtinId="8" hidden="1"/>
    <cellStyle name="Lien hypertexte" xfId="715" builtinId="8" hidden="1"/>
    <cellStyle name="Lien hypertexte" xfId="717" builtinId="8" hidden="1"/>
    <cellStyle name="Lien hypertexte" xfId="719" builtinId="8" hidden="1"/>
    <cellStyle name="Lien hypertexte" xfId="721" builtinId="8" hidden="1"/>
    <cellStyle name="Lien hypertexte" xfId="723" builtinId="8" hidden="1"/>
    <cellStyle name="Lien hypertexte" xfId="725" builtinId="8" hidden="1"/>
    <cellStyle name="Lien hypertexte" xfId="727" builtinId="8" hidden="1"/>
    <cellStyle name="Lien hypertexte" xfId="729" builtinId="8" hidden="1"/>
    <cellStyle name="Lien hypertexte" xfId="731" builtinId="8" hidden="1"/>
    <cellStyle name="Lien hypertexte" xfId="733" builtinId="8" hidden="1"/>
    <cellStyle name="Lien hypertexte" xfId="735" builtinId="8" hidden="1"/>
    <cellStyle name="Lien hypertexte" xfId="737" builtinId="8" hidden="1"/>
    <cellStyle name="Lien hypertexte" xfId="739" builtinId="8" hidden="1"/>
    <cellStyle name="Lien hypertexte" xfId="741" builtinId="8" hidden="1"/>
    <cellStyle name="Lien hypertexte" xfId="743" builtinId="8" hidden="1"/>
    <cellStyle name="Lien hypertexte" xfId="745" builtinId="8" hidden="1"/>
    <cellStyle name="Lien hypertexte" xfId="747" builtinId="8" hidden="1"/>
    <cellStyle name="Lien hypertexte" xfId="749" builtinId="8" hidden="1"/>
    <cellStyle name="Lien hypertexte" xfId="751" builtinId="8" hidden="1"/>
    <cellStyle name="Lien hypertexte" xfId="753" builtinId="8" hidden="1"/>
    <cellStyle name="Lien hypertexte" xfId="755" builtinId="8" hidden="1"/>
    <cellStyle name="Lien hypertexte" xfId="757" builtinId="8" hidden="1"/>
    <cellStyle name="Lien hypertexte" xfId="759" builtinId="8" hidden="1"/>
    <cellStyle name="Lien hypertexte" xfId="761" builtinId="8" hidden="1"/>
    <cellStyle name="Lien hypertexte" xfId="763" builtinId="8" hidden="1"/>
    <cellStyle name="Lien hypertexte" xfId="765" builtinId="8" hidden="1"/>
    <cellStyle name="Lien hypertexte" xfId="767" builtinId="8" hidden="1"/>
    <cellStyle name="Lien hypertexte" xfId="769" builtinId="8" hidden="1"/>
    <cellStyle name="Lien hypertexte" xfId="771" builtinId="8" hidden="1"/>
    <cellStyle name="Lien hypertexte" xfId="773" builtinId="8" hidden="1"/>
    <cellStyle name="Lien hypertexte" xfId="775" builtinId="8" hidden="1"/>
    <cellStyle name="Lien hypertexte" xfId="777" builtinId="8" hidden="1"/>
    <cellStyle name="Lien hypertexte" xfId="779" builtinId="8" hidden="1"/>
    <cellStyle name="Lien hypertexte" xfId="781" builtinId="8" hidden="1"/>
    <cellStyle name="Lien hypertexte" xfId="783" builtinId="8" hidden="1"/>
    <cellStyle name="Lien hypertexte" xfId="785" builtinId="8" hidden="1"/>
    <cellStyle name="Lien hypertexte" xfId="787" builtinId="8" hidden="1"/>
    <cellStyle name="Lien hypertexte" xfId="789" builtinId="8" hidden="1"/>
    <cellStyle name="Lien hypertexte" xfId="791" builtinId="8" hidden="1"/>
    <cellStyle name="Lien hypertexte" xfId="793" builtinId="8" hidden="1"/>
    <cellStyle name="Lien hypertexte" xfId="795" builtinId="8" hidden="1"/>
    <cellStyle name="Lien hypertexte" xfId="797" builtinId="8" hidden="1"/>
    <cellStyle name="Lien hypertexte" xfId="799" builtinId="8" hidden="1"/>
    <cellStyle name="Lien hypertexte" xfId="801" builtinId="8" hidden="1"/>
    <cellStyle name="Lien hypertexte" xfId="803" builtinId="8" hidden="1"/>
    <cellStyle name="Lien hypertexte" xfId="805" builtinId="8" hidden="1"/>
    <cellStyle name="Lien hypertexte" xfId="807" builtinId="8" hidden="1"/>
    <cellStyle name="Lien hypertexte" xfId="809" builtinId="8" hidden="1"/>
    <cellStyle name="Lien hypertexte" xfId="811" builtinId="8" hidden="1"/>
    <cellStyle name="Lien hypertexte" xfId="813" builtinId="8" hidden="1"/>
    <cellStyle name="Lien hypertexte" xfId="815" builtinId="8" hidden="1"/>
    <cellStyle name="Lien hypertexte" xfId="817" builtinId="8" hidden="1"/>
    <cellStyle name="Lien hypertexte" xfId="819" builtinId="8" hidden="1"/>
    <cellStyle name="Lien hypertexte" xfId="821" builtinId="8" hidden="1"/>
    <cellStyle name="Lien hypertexte" xfId="823" builtinId="8" hidden="1"/>
    <cellStyle name="Lien hypertexte" xfId="825" builtinId="8" hidden="1"/>
    <cellStyle name="Lien hypertexte" xfId="827" builtinId="8" hidden="1"/>
    <cellStyle name="Lien hypertexte" xfId="829" builtinId="8" hidden="1"/>
    <cellStyle name="Lien hypertexte" xfId="831" builtinId="8" hidden="1"/>
    <cellStyle name="Lien hypertexte" xfId="833" builtinId="8" hidden="1"/>
    <cellStyle name="Lien hypertexte" xfId="835" builtinId="8" hidden="1"/>
    <cellStyle name="Lien hypertexte" xfId="837" builtinId="8" hidden="1"/>
    <cellStyle name="Lien hypertexte" xfId="839" builtinId="8" hidden="1"/>
    <cellStyle name="Lien hypertexte" xfId="841" builtinId="8" hidden="1"/>
    <cellStyle name="Lien hypertexte" xfId="843" builtinId="8" hidden="1"/>
    <cellStyle name="Lien hypertexte" xfId="845" builtinId="8" hidden="1"/>
    <cellStyle name="Lien hypertexte" xfId="847" builtinId="8" hidden="1"/>
    <cellStyle name="Lien hypertexte" xfId="849" builtinId="8" hidden="1"/>
    <cellStyle name="Lien hypertexte" xfId="851" builtinId="8" hidden="1"/>
    <cellStyle name="Lien hypertexte" xfId="853" builtinId="8" hidden="1"/>
    <cellStyle name="Lien hypertexte" xfId="855" builtinId="8" hidden="1"/>
    <cellStyle name="Lien hypertexte" xfId="857" builtinId="8" hidden="1"/>
    <cellStyle name="Lien hypertexte" xfId="859" builtinId="8" hidden="1"/>
    <cellStyle name="Lien hypertexte" xfId="861" builtinId="8" hidden="1"/>
    <cellStyle name="Lien hypertexte" xfId="863" builtinId="8" hidden="1"/>
    <cellStyle name="Lien hypertexte" xfId="865" builtinId="8" hidden="1"/>
    <cellStyle name="Lien hypertexte" xfId="867" builtinId="8" hidden="1"/>
    <cellStyle name="Lien hypertexte" xfId="869" builtinId="8" hidden="1"/>
    <cellStyle name="Lien hypertexte" xfId="871" builtinId="8" hidden="1"/>
    <cellStyle name="Lien hypertexte" xfId="873" builtinId="8" hidden="1"/>
    <cellStyle name="Lien hypertexte" xfId="875" builtinId="8" hidden="1"/>
    <cellStyle name="Lien hypertexte" xfId="877" builtinId="8" hidden="1"/>
    <cellStyle name="Lien hypertexte" xfId="879" builtinId="8" hidden="1"/>
    <cellStyle name="Lien hypertexte" xfId="881" builtinId="8" hidden="1"/>
    <cellStyle name="Lien hypertexte" xfId="883" builtinId="8" hidden="1"/>
    <cellStyle name="Lien hypertexte" xfId="885" builtinId="8" hidden="1"/>
    <cellStyle name="Lien hypertexte" xfId="887" builtinId="8" hidden="1"/>
    <cellStyle name="Lien hypertexte" xfId="889" builtinId="8" hidden="1"/>
    <cellStyle name="Lien hypertexte" xfId="891" builtinId="8" hidden="1"/>
    <cellStyle name="Lien hypertexte" xfId="893" builtinId="8" hidden="1"/>
    <cellStyle name="Lien hypertexte" xfId="895" builtinId="8" hidden="1"/>
    <cellStyle name="Lien hypertexte" xfId="897" builtinId="8" hidden="1"/>
    <cellStyle name="Lien hypertexte" xfId="899" builtinId="8" hidden="1"/>
    <cellStyle name="Lien hypertexte" xfId="901" builtinId="8" hidden="1"/>
    <cellStyle name="Lien hypertexte" xfId="903" builtinId="8" hidden="1"/>
    <cellStyle name="Lien hypertexte" xfId="905" builtinId="8" hidden="1"/>
    <cellStyle name="Lien hypertexte" xfId="907" builtinId="8" hidden="1"/>
    <cellStyle name="Lien hypertexte" xfId="909" builtinId="8" hidden="1"/>
    <cellStyle name="Lien hypertexte" xfId="911" builtinId="8" hidden="1"/>
    <cellStyle name="Lien hypertexte" xfId="913" builtinId="8" hidden="1"/>
    <cellStyle name="Lien hypertexte" xfId="915" builtinId="8" hidden="1"/>
    <cellStyle name="Lien hypertexte" xfId="917" builtinId="8" hidden="1"/>
    <cellStyle name="Lien hypertexte" xfId="919" builtinId="8" hidden="1"/>
    <cellStyle name="Lien hypertexte" xfId="921" builtinId="8" hidden="1"/>
    <cellStyle name="Lien hypertexte" xfId="923" builtinId="8" hidden="1"/>
    <cellStyle name="Lien hypertexte" xfId="925" builtinId="8" hidden="1"/>
    <cellStyle name="Lien hypertexte" xfId="927" builtinId="8" hidden="1"/>
    <cellStyle name="Lien hypertexte" xfId="929" builtinId="8" hidden="1"/>
    <cellStyle name="Lien hypertexte" xfId="931" builtinId="8" hidden="1"/>
    <cellStyle name="Lien hypertexte" xfId="933" builtinId="8" hidden="1"/>
    <cellStyle name="Lien hypertexte" xfId="935" builtinId="8" hidden="1"/>
    <cellStyle name="Lien hypertexte" xfId="937" builtinId="8" hidden="1"/>
    <cellStyle name="Lien hypertexte" xfId="939" builtinId="8" hidden="1"/>
    <cellStyle name="Lien hypertexte" xfId="941" builtinId="8" hidden="1"/>
    <cellStyle name="Lien hypertexte" xfId="943" builtinId="8" hidden="1"/>
    <cellStyle name="Lien hypertexte" xfId="945" builtinId="8" hidden="1"/>
    <cellStyle name="Lien hypertexte" xfId="947" builtinId="8" hidden="1"/>
    <cellStyle name="Lien hypertexte" xfId="949" builtinId="8" hidden="1"/>
    <cellStyle name="Lien hypertexte" xfId="951" builtinId="8" hidden="1"/>
    <cellStyle name="Lien hypertexte" xfId="953" builtinId="8" hidden="1"/>
    <cellStyle name="Lien hypertexte" xfId="955" builtinId="8" hidden="1"/>
    <cellStyle name="Lien hypertexte" xfId="957" builtinId="8" hidden="1"/>
    <cellStyle name="Lien hypertexte" xfId="959" builtinId="8" hidden="1"/>
    <cellStyle name="Lien hypertexte" xfId="961" builtinId="8" hidden="1"/>
    <cellStyle name="Lien hypertexte" xfId="963" builtinId="8" hidden="1"/>
    <cellStyle name="Lien hypertexte" xfId="965" builtinId="8" hidden="1"/>
    <cellStyle name="Lien hypertexte" xfId="967" builtinId="8" hidden="1"/>
    <cellStyle name="Lien hypertexte" xfId="969" builtinId="8" hidden="1"/>
    <cellStyle name="Lien hypertexte" xfId="971" builtinId="8" hidden="1"/>
    <cellStyle name="Lien hypertexte" xfId="973" builtinId="8" hidden="1"/>
    <cellStyle name="Lien hypertexte" xfId="975" builtinId="8" hidden="1"/>
    <cellStyle name="Lien hypertexte" xfId="977" builtinId="8" hidden="1"/>
    <cellStyle name="Lien hypertexte" xfId="979" builtinId="8" hidden="1"/>
    <cellStyle name="Lien hypertexte" xfId="981" builtinId="8" hidden="1"/>
    <cellStyle name="Lien hypertexte" xfId="983" builtinId="8" hidden="1"/>
    <cellStyle name="Lien hypertexte" xfId="985" builtinId="8" hidden="1"/>
    <cellStyle name="Lien hypertexte" xfId="987" builtinId="8" hidden="1"/>
    <cellStyle name="Lien hypertexte" xfId="989" builtinId="8" hidden="1"/>
    <cellStyle name="Lien hypertexte" xfId="991" builtinId="8" hidden="1"/>
    <cellStyle name="Lien hypertexte" xfId="993" builtinId="8" hidden="1"/>
    <cellStyle name="Lien hypertexte" xfId="995" builtinId="8" hidden="1"/>
    <cellStyle name="Lien hypertexte" xfId="997" builtinId="8" hidden="1"/>
    <cellStyle name="Lien hypertexte" xfId="999" builtinId="8" hidden="1"/>
    <cellStyle name="Lien hypertexte" xfId="1001" builtinId="8" hidden="1"/>
    <cellStyle name="Lien hypertexte" xfId="1003" builtinId="8" hidden="1"/>
    <cellStyle name="Lien hypertexte" xfId="1005" builtinId="8" hidden="1"/>
    <cellStyle name="Lien hypertexte" xfId="1007" builtinId="8" hidden="1"/>
    <cellStyle name="Lien hypertexte" xfId="1009" builtinId="8" hidden="1"/>
    <cellStyle name="Lien hypertexte" xfId="1011" builtinId="8" hidden="1"/>
    <cellStyle name="Lien hypertexte" xfId="1013" builtinId="8" hidden="1"/>
    <cellStyle name="Lien hypertexte" xfId="1015" builtinId="8" hidden="1"/>
    <cellStyle name="Lien hypertexte" xfId="1017" builtinId="8" hidden="1"/>
    <cellStyle name="Lien hypertexte" xfId="1019" builtinId="8" hidden="1"/>
    <cellStyle name="Lien hypertexte" xfId="1021" builtinId="8" hidden="1"/>
    <cellStyle name="Lien hypertexte" xfId="1023" builtinId="8" hidden="1"/>
    <cellStyle name="Lien hypertexte" xfId="1025" builtinId="8" hidden="1"/>
    <cellStyle name="Lien hypertexte" xfId="1027" builtinId="8" hidden="1"/>
    <cellStyle name="Lien hypertexte" xfId="1029" builtinId="8" hidden="1"/>
    <cellStyle name="Lien hypertexte" xfId="1031" builtinId="8" hidden="1"/>
    <cellStyle name="Lien hypertexte" xfId="1033" builtinId="8" hidden="1"/>
    <cellStyle name="Lien hypertexte" xfId="1035" builtinId="8" hidden="1"/>
    <cellStyle name="Lien hypertexte" xfId="1037" builtinId="8" hidden="1"/>
    <cellStyle name="Lien hypertexte" xfId="1039" builtinId="8" hidden="1"/>
    <cellStyle name="Lien hypertexte" xfId="1041" builtinId="8" hidden="1"/>
    <cellStyle name="Lien hypertexte" xfId="1043" builtinId="8" hidden="1"/>
    <cellStyle name="Lien hypertexte" xfId="1045" builtinId="8" hidden="1"/>
    <cellStyle name="Lien hypertexte" xfId="1047" builtinId="8" hidden="1"/>
    <cellStyle name="Lien hypertexte" xfId="1049" builtinId="8" hidden="1"/>
    <cellStyle name="Lien hypertexte" xfId="1051" builtinId="8" hidden="1"/>
    <cellStyle name="Lien hypertexte" xfId="1053" builtinId="8" hidden="1"/>
    <cellStyle name="Lien hypertexte" xfId="1055" builtinId="8" hidden="1"/>
    <cellStyle name="Lien hypertexte" xfId="1057" builtinId="8" hidden="1"/>
    <cellStyle name="Lien hypertexte" xfId="1059" builtinId="8" hidden="1"/>
    <cellStyle name="Lien hypertexte" xfId="1061" builtinId="8" hidden="1"/>
    <cellStyle name="Lien hypertexte" xfId="1063" builtinId="8" hidden="1"/>
    <cellStyle name="Lien hypertexte" xfId="1065" builtinId="8" hidden="1"/>
    <cellStyle name="Lien hypertexte" xfId="1067" builtinId="8" hidden="1"/>
    <cellStyle name="Lien hypertexte" xfId="1069" builtinId="8" hidden="1"/>
    <cellStyle name="Lien hypertexte" xfId="1071" builtinId="8" hidden="1"/>
    <cellStyle name="Lien hypertexte" xfId="1073" builtinId="8" hidden="1"/>
    <cellStyle name="Lien hypertexte" xfId="1075" builtinId="8" hidden="1"/>
    <cellStyle name="Lien hypertexte" xfId="1077" builtinId="8" hidden="1"/>
    <cellStyle name="Lien hypertexte" xfId="1079" builtinId="8" hidden="1"/>
    <cellStyle name="Lien hypertexte" xfId="1081" builtinId="8" hidden="1"/>
    <cellStyle name="Lien hypertexte" xfId="1083" builtinId="8" hidden="1"/>
    <cellStyle name="Lien hypertexte" xfId="1085" builtinId="8" hidden="1"/>
    <cellStyle name="Lien hypertexte" xfId="1087" builtinId="8" hidden="1"/>
    <cellStyle name="Lien hypertexte" xfId="1089" builtinId="8" hidden="1"/>
    <cellStyle name="Lien hypertexte" xfId="1091" builtinId="8" hidden="1"/>
    <cellStyle name="Lien hypertexte" xfId="1093" builtinId="8" hidden="1"/>
    <cellStyle name="Lien hypertexte" xfId="1095" builtinId="8" hidden="1"/>
    <cellStyle name="Lien hypertexte" xfId="1097" builtinId="8" hidden="1"/>
    <cellStyle name="Lien hypertexte" xfId="1099" builtinId="8" hidden="1"/>
    <cellStyle name="Lien hypertexte" xfId="1101" builtinId="8" hidden="1"/>
    <cellStyle name="Lien hypertexte" xfId="1103" builtinId="8" hidden="1"/>
    <cellStyle name="Lien hypertexte" xfId="1105" builtinId="8" hidden="1"/>
    <cellStyle name="Lien hypertexte" xfId="1107" builtinId="8" hidden="1"/>
    <cellStyle name="Lien hypertexte" xfId="1109" builtinId="8" hidden="1"/>
    <cellStyle name="Lien hypertexte" xfId="1111" builtinId="8" hidden="1"/>
    <cellStyle name="Lien hypertexte" xfId="1113" builtinId="8" hidden="1"/>
    <cellStyle name="Lien hypertexte" xfId="1115" builtinId="8" hidden="1"/>
    <cellStyle name="Lien hypertexte" xfId="1117" builtinId="8" hidden="1"/>
    <cellStyle name="Lien hypertexte" xfId="1119" builtinId="8" hidden="1"/>
    <cellStyle name="Lien hypertexte" xfId="1121" builtinId="8" hidden="1"/>
    <cellStyle name="Lien hypertexte" xfId="1123" builtinId="8" hidden="1"/>
    <cellStyle name="Lien hypertexte" xfId="1125" builtinId="8" hidden="1"/>
    <cellStyle name="Lien hypertexte" xfId="1127" builtinId="8" hidden="1"/>
    <cellStyle name="Lien hypertexte" xfId="1129" builtinId="8" hidden="1"/>
    <cellStyle name="Lien hypertexte" xfId="1131" builtinId="8" hidden="1"/>
    <cellStyle name="Lien hypertexte" xfId="1133" builtinId="8" hidden="1"/>
    <cellStyle name="Lien hypertexte" xfId="1135" builtinId="8" hidden="1"/>
    <cellStyle name="Lien hypertexte" xfId="1137" builtinId="8" hidden="1"/>
    <cellStyle name="Lien hypertexte" xfId="1139" builtinId="8" hidden="1"/>
    <cellStyle name="Lien hypertexte" xfId="1141" builtinId="8" hidden="1"/>
    <cellStyle name="Lien hypertexte" xfId="1143" builtinId="8" hidden="1"/>
    <cellStyle name="Lien hypertexte" xfId="1145" builtinId="8" hidden="1"/>
    <cellStyle name="Lien hypertexte" xfId="1147" builtinId="8" hidden="1"/>
    <cellStyle name="Lien hypertexte" xfId="1149" builtinId="8" hidden="1"/>
    <cellStyle name="Lien hypertexte" xfId="1151" builtinId="8" hidden="1"/>
    <cellStyle name="Lien hypertexte" xfId="1153" builtinId="8" hidden="1"/>
    <cellStyle name="Lien hypertexte" xfId="1155" builtinId="8" hidden="1"/>
    <cellStyle name="Lien hypertexte" xfId="1157" builtinId="8" hidden="1"/>
    <cellStyle name="Lien hypertexte" xfId="1159" builtinId="8" hidden="1"/>
    <cellStyle name="Lien hypertexte" xfId="1161" builtinId="8" hidden="1"/>
    <cellStyle name="Lien hypertexte" xfId="1163" builtinId="8" hidden="1"/>
    <cellStyle name="Lien hypertexte" xfId="1165" builtinId="8" hidden="1"/>
    <cellStyle name="Lien hypertexte" xfId="1167" builtinId="8" hidden="1"/>
    <cellStyle name="Lien hypertexte" xfId="1169" builtinId="8" hidden="1"/>
    <cellStyle name="Lien hypertexte" xfId="1171" builtinId="8" hidden="1"/>
    <cellStyle name="Lien hypertexte" xfId="1173" builtinId="8" hidden="1"/>
    <cellStyle name="Lien hypertexte" xfId="1175" builtinId="8" hidden="1"/>
    <cellStyle name="Lien hypertexte" xfId="1177" builtinId="8" hidden="1"/>
    <cellStyle name="Lien hypertexte" xfId="1179" builtinId="8" hidden="1"/>
    <cellStyle name="Lien hypertexte" xfId="1181" builtinId="8" hidden="1"/>
    <cellStyle name="Lien hypertexte" xfId="1183" builtinId="8" hidden="1"/>
    <cellStyle name="Lien hypertexte" xfId="1185" builtinId="8" hidden="1"/>
    <cellStyle name="Lien hypertexte" xfId="1187" builtinId="8" hidden="1"/>
    <cellStyle name="Lien hypertexte" xfId="1189" builtinId="8" hidden="1"/>
    <cellStyle name="Lien hypertexte" xfId="1191" builtinId="8" hidden="1"/>
    <cellStyle name="Lien hypertexte" xfId="1193" builtinId="8" hidden="1"/>
    <cellStyle name="Lien hypertexte" xfId="1195" builtinId="8" hidden="1"/>
    <cellStyle name="Lien hypertexte" xfId="1197" builtinId="8" hidden="1"/>
    <cellStyle name="Lien hypertexte" xfId="1199" builtinId="8" hidden="1"/>
    <cellStyle name="Lien hypertexte" xfId="1201" builtinId="8" hidden="1"/>
    <cellStyle name="Lien hypertexte" xfId="1203" builtinId="8" hidden="1"/>
    <cellStyle name="Lien hypertexte" xfId="1205" builtinId="8" hidden="1"/>
    <cellStyle name="Lien hypertexte" xfId="1207" builtinId="8" hidden="1"/>
    <cellStyle name="Lien hypertexte" xfId="1209" builtinId="8" hidden="1"/>
    <cellStyle name="Lien hypertexte" xfId="1211" builtinId="8" hidden="1"/>
    <cellStyle name="Lien hypertexte" xfId="1213" builtinId="8" hidden="1"/>
    <cellStyle name="Lien hypertexte" xfId="1215" builtinId="8" hidden="1"/>
    <cellStyle name="Lien hypertexte" xfId="1217" builtinId="8" hidden="1"/>
    <cellStyle name="Lien hypertexte" xfId="1219" builtinId="8" hidden="1"/>
    <cellStyle name="Lien hypertexte" xfId="1221" builtinId="8" hidden="1"/>
    <cellStyle name="Lien hypertexte" xfId="1223" builtinId="8" hidden="1"/>
    <cellStyle name="Lien hypertexte" xfId="1225" builtinId="8" hidden="1"/>
    <cellStyle name="Lien hypertexte" xfId="1227" builtinId="8" hidden="1"/>
    <cellStyle name="Lien hypertexte" xfId="1229" builtinId="8" hidden="1"/>
    <cellStyle name="Lien hypertexte" xfId="1231" builtinId="8" hidden="1"/>
    <cellStyle name="Lien hypertexte" xfId="1233" builtinId="8" hidden="1"/>
    <cellStyle name="Lien hypertexte" xfId="1235" builtinId="8" hidden="1"/>
    <cellStyle name="Lien hypertexte" xfId="1237" builtinId="8" hidden="1"/>
    <cellStyle name="Lien hypertexte" xfId="1239" builtinId="8" hidden="1"/>
    <cellStyle name="Lien hypertexte" xfId="1241" builtinId="8" hidden="1"/>
    <cellStyle name="Lien hypertexte" xfId="1243" builtinId="8" hidden="1"/>
    <cellStyle name="Lien hypertexte" xfId="1245" builtinId="8" hidden="1"/>
    <cellStyle name="Lien hypertexte" xfId="1247" builtinId="8" hidden="1"/>
    <cellStyle name="Lien hypertexte" xfId="1249" builtinId="8" hidden="1"/>
    <cellStyle name="Lien hypertexte" xfId="1251" builtinId="8" hidden="1"/>
    <cellStyle name="Lien hypertexte" xfId="1253" builtinId="8" hidden="1"/>
    <cellStyle name="Lien hypertexte" xfId="1255" builtinId="8" hidden="1"/>
    <cellStyle name="Lien hypertexte" xfId="1257" builtinId="8" hidden="1"/>
    <cellStyle name="Lien hypertexte" xfId="1259" builtinId="8" hidden="1"/>
    <cellStyle name="Lien hypertexte" xfId="1261" builtinId="8" hidden="1"/>
    <cellStyle name="Lien hypertexte" xfId="1263" builtinId="8" hidden="1"/>
    <cellStyle name="Lien hypertexte" xfId="1265" builtinId="8" hidden="1"/>
    <cellStyle name="Lien hypertexte" xfId="1267" builtinId="8" hidden="1"/>
    <cellStyle name="Lien hypertexte" xfId="1269" builtinId="8" hidden="1"/>
    <cellStyle name="Lien hypertexte" xfId="1271" builtinId="8" hidden="1"/>
    <cellStyle name="Lien hypertexte" xfId="1273" builtinId="8" hidden="1"/>
    <cellStyle name="Lien hypertexte" xfId="1275" builtinId="8" hidden="1"/>
    <cellStyle name="Lien hypertexte" xfId="1277" builtinId="8" hidden="1"/>
    <cellStyle name="Lien hypertexte" xfId="1279" builtinId="8" hidden="1"/>
    <cellStyle name="Lien hypertexte" xfId="1281" builtinId="8" hidden="1"/>
    <cellStyle name="Lien hypertexte" xfId="1283" builtinId="8" hidden="1"/>
    <cellStyle name="Lien hypertexte" xfId="1285" builtinId="8" hidden="1"/>
    <cellStyle name="Lien hypertexte" xfId="1287" builtinId="8" hidden="1"/>
    <cellStyle name="Lien hypertexte" xfId="1289" builtinId="8" hidden="1"/>
    <cellStyle name="Lien hypertexte" xfId="1291" builtinId="8" hidden="1"/>
    <cellStyle name="Lien hypertexte" xfId="1293" builtinId="8" hidden="1"/>
    <cellStyle name="Lien hypertexte" xfId="1295" builtinId="8" hidden="1"/>
    <cellStyle name="Lien hypertexte" xfId="1297" builtinId="8" hidden="1"/>
    <cellStyle name="Lien hypertexte" xfId="1299" builtinId="8" hidden="1"/>
    <cellStyle name="Lien hypertexte" xfId="1301" builtinId="8" hidden="1"/>
    <cellStyle name="Lien hypertexte" xfId="1303" builtinId="8" hidden="1"/>
    <cellStyle name="Lien hypertexte" xfId="1305" builtinId="8" hidden="1"/>
    <cellStyle name="Lien hypertexte" xfId="1307" builtinId="8" hidden="1"/>
    <cellStyle name="Lien hypertexte" xfId="1309" builtinId="8" hidden="1"/>
    <cellStyle name="Lien hypertexte" xfId="1311" builtinId="8" hidden="1"/>
    <cellStyle name="Lien hypertexte" xfId="1313" builtinId="8" hidden="1"/>
    <cellStyle name="Lien hypertexte" xfId="1315" builtinId="8" hidden="1"/>
    <cellStyle name="Lien hypertexte" xfId="1317" builtinId="8" hidden="1"/>
    <cellStyle name="Lien hypertexte" xfId="1319" builtinId="8" hidden="1"/>
    <cellStyle name="Lien hypertexte" xfId="1321" builtinId="8" hidden="1"/>
    <cellStyle name="Lien hypertexte" xfId="1323" builtinId="8" hidden="1"/>
    <cellStyle name="Lien hypertexte" xfId="1325" builtinId="8" hidden="1"/>
    <cellStyle name="Lien hypertexte" xfId="1327" builtinId="8" hidden="1"/>
    <cellStyle name="Lien hypertexte" xfId="1329" builtinId="8" hidden="1"/>
    <cellStyle name="Lien hypertexte" xfId="1331" builtinId="8" hidden="1"/>
    <cellStyle name="Lien hypertexte" xfId="1333" builtinId="8" hidden="1"/>
    <cellStyle name="Lien hypertexte" xfId="1335" builtinId="8" hidden="1"/>
    <cellStyle name="Lien hypertexte" xfId="1337" builtinId="8" hidden="1"/>
    <cellStyle name="Lien hypertexte" xfId="1339" builtinId="8" hidden="1"/>
    <cellStyle name="Lien hypertexte" xfId="1341" builtinId="8" hidden="1"/>
    <cellStyle name="Lien hypertexte" xfId="1343" builtinId="8" hidden="1"/>
    <cellStyle name="Lien hypertexte" xfId="1345" builtinId="8" hidden="1"/>
    <cellStyle name="Lien hypertexte" xfId="1347" builtinId="8" hidden="1"/>
    <cellStyle name="Lien hypertexte" xfId="1349" builtinId="8" hidden="1"/>
    <cellStyle name="Lien hypertexte" xfId="1351" builtinId="8" hidden="1"/>
    <cellStyle name="Lien hypertexte" xfId="1353" builtinId="8" hidden="1"/>
    <cellStyle name="Lien hypertexte" xfId="1355" builtinId="8" hidden="1"/>
    <cellStyle name="Lien hypertexte" xfId="1357" builtinId="8" hidden="1"/>
    <cellStyle name="Lien hypertexte" xfId="1359" builtinId="8" hidden="1"/>
    <cellStyle name="Lien hypertexte" xfId="1361" builtinId="8" hidden="1"/>
    <cellStyle name="Lien hypertexte" xfId="1363" builtinId="8" hidden="1"/>
    <cellStyle name="Lien hypertexte" xfId="1365" builtinId="8" hidden="1"/>
    <cellStyle name="Lien hypertexte" xfId="1367" builtinId="8" hidden="1"/>
    <cellStyle name="Lien hypertexte" xfId="1369" builtinId="8" hidden="1"/>
    <cellStyle name="Lien hypertexte" xfId="1371" builtinId="8" hidden="1"/>
    <cellStyle name="Lien hypertexte" xfId="1373" builtinId="8" hidden="1"/>
    <cellStyle name="Lien hypertexte" xfId="1375" builtinId="8" hidden="1"/>
    <cellStyle name="Lien hypertexte" xfId="1377" builtinId="8" hidden="1"/>
    <cellStyle name="Lien hypertexte" xfId="1379" builtinId="8" hidden="1"/>
    <cellStyle name="Lien hypertexte" xfId="1381" builtinId="8" hidden="1"/>
    <cellStyle name="Lien hypertexte" xfId="1383" builtinId="8" hidden="1"/>
    <cellStyle name="Lien hypertexte" xfId="1385" builtinId="8" hidden="1"/>
    <cellStyle name="Lien hypertexte" xfId="1387" builtinId="8" hidden="1"/>
    <cellStyle name="Lien hypertexte" xfId="1389" builtinId="8" hidden="1"/>
    <cellStyle name="Lien hypertexte" xfId="1391" builtinId="8" hidden="1"/>
    <cellStyle name="Lien hypertexte" xfId="1393" builtinId="8" hidden="1"/>
    <cellStyle name="Lien hypertexte" xfId="1395" builtinId="8" hidden="1"/>
    <cellStyle name="Lien hypertexte" xfId="1397" builtinId="8" hidden="1"/>
    <cellStyle name="Lien hypertexte" xfId="1399" builtinId="8" hidden="1"/>
    <cellStyle name="Lien hypertexte" xfId="1401" builtinId="8" hidden="1"/>
    <cellStyle name="Lien hypertexte" xfId="1403" builtinId="8" hidden="1"/>
    <cellStyle name="Lien hypertexte" xfId="1405" builtinId="8" hidden="1"/>
    <cellStyle name="Lien hypertexte" xfId="1407" builtinId="8" hidden="1"/>
    <cellStyle name="Lien hypertexte" xfId="1409" builtinId="8" hidden="1"/>
    <cellStyle name="Lien hypertexte" xfId="1411" builtinId="8" hidden="1"/>
    <cellStyle name="Lien hypertexte" xfId="1413" builtinId="8" hidden="1"/>
    <cellStyle name="Lien hypertexte" xfId="1415" builtinId="8" hidden="1"/>
    <cellStyle name="Lien hypertexte" xfId="1417" builtinId="8" hidden="1"/>
    <cellStyle name="Lien hypertexte" xfId="1419" builtinId="8" hidden="1"/>
    <cellStyle name="Lien hypertexte" xfId="1421" builtinId="8" hidden="1"/>
    <cellStyle name="Lien hypertexte" xfId="1423" builtinId="8" hidden="1"/>
    <cellStyle name="Lien hypertexte" xfId="1425" builtinId="8" hidden="1"/>
    <cellStyle name="Lien hypertexte" xfId="1427" builtinId="8" hidden="1"/>
    <cellStyle name="Lien hypertexte" xfId="1429" builtinId="8" hidden="1"/>
    <cellStyle name="Lien hypertexte" xfId="1431" builtinId="8" hidden="1"/>
    <cellStyle name="Lien hypertexte" xfId="1433" builtinId="8" hidden="1"/>
    <cellStyle name="Lien hypertexte" xfId="1435" builtinId="8" hidden="1"/>
    <cellStyle name="Lien hypertexte" xfId="1437" builtinId="8" hidden="1"/>
    <cellStyle name="Lien hypertexte" xfId="1439" builtinId="8" hidden="1"/>
    <cellStyle name="Lien hypertexte" xfId="1441" builtinId="8" hidden="1"/>
    <cellStyle name="Lien hypertexte" xfId="1443" builtinId="8" hidden="1"/>
    <cellStyle name="Lien hypertexte" xfId="1445" builtinId="8" hidden="1"/>
    <cellStyle name="Lien hypertexte" xfId="1447" builtinId="8" hidden="1"/>
    <cellStyle name="Lien hypertexte" xfId="1449" builtinId="8" hidden="1"/>
    <cellStyle name="Lien hypertexte" xfId="1451" builtinId="8" hidden="1"/>
    <cellStyle name="Lien hypertexte" xfId="1453" builtinId="8" hidden="1"/>
    <cellStyle name="Lien hypertexte" xfId="1455" builtinId="8" hidden="1"/>
    <cellStyle name="Lien hypertexte" xfId="1457" builtinId="8" hidden="1"/>
    <cellStyle name="Lien hypertexte" xfId="1459" builtinId="8" hidden="1"/>
    <cellStyle name="Lien hypertexte" xfId="1461" builtinId="8" hidden="1"/>
    <cellStyle name="Lien hypertexte" xfId="1463" builtinId="8" hidden="1"/>
    <cellStyle name="Lien hypertexte" xfId="1465" builtinId="8" hidden="1"/>
    <cellStyle name="Lien hypertexte" xfId="1467" builtinId="8" hidden="1"/>
    <cellStyle name="Lien hypertexte" xfId="1469" builtinId="8" hidden="1"/>
    <cellStyle name="Lien hypertexte" xfId="1471" builtinId="8" hidden="1"/>
    <cellStyle name="Lien hypertexte" xfId="1473" builtinId="8" hidden="1"/>
    <cellStyle name="Lien hypertexte" xfId="1475" builtinId="8" hidden="1"/>
    <cellStyle name="Lien hypertexte" xfId="1477" builtinId="8" hidden="1"/>
    <cellStyle name="Lien hypertexte" xfId="1479" builtinId="8" hidden="1"/>
    <cellStyle name="Lien hypertexte" xfId="1481" builtinId="8" hidden="1"/>
    <cellStyle name="Lien hypertexte" xfId="1483" builtinId="8" hidden="1"/>
    <cellStyle name="Lien hypertexte" xfId="1485" builtinId="8" hidden="1"/>
    <cellStyle name="Lien hypertexte" xfId="1487" builtinId="8" hidden="1"/>
    <cellStyle name="Lien hypertexte" xfId="1489" builtinId="8" hidden="1"/>
    <cellStyle name="Lien hypertexte" xfId="1491" builtinId="8" hidden="1"/>
    <cellStyle name="Lien hypertexte" xfId="1493" builtinId="8" hidden="1"/>
    <cellStyle name="Lien hypertexte" xfId="1495" builtinId="8" hidden="1"/>
    <cellStyle name="Lien hypertexte" xfId="1497" builtinId="8" hidden="1"/>
    <cellStyle name="Lien hypertexte" xfId="1499" builtinId="8" hidden="1"/>
    <cellStyle name="Lien hypertexte" xfId="1501" builtinId="8" hidden="1"/>
    <cellStyle name="Lien hypertexte" xfId="1503" builtinId="8" hidden="1"/>
    <cellStyle name="Lien hypertexte" xfId="1505" builtinId="8" hidden="1"/>
    <cellStyle name="Lien hypertexte" xfId="1507" builtinId="8" hidden="1"/>
    <cellStyle name="Lien hypertexte" xfId="1509" builtinId="8" hidden="1"/>
    <cellStyle name="Lien hypertexte" xfId="1511" builtinId="8" hidden="1"/>
    <cellStyle name="Lien hypertexte" xfId="1513" builtinId="8" hidden="1"/>
    <cellStyle name="Lien hypertexte" xfId="1515" builtinId="8" hidden="1"/>
    <cellStyle name="Lien hypertexte" xfId="1517" builtinId="8" hidden="1"/>
    <cellStyle name="Lien hypertexte" xfId="1519" builtinId="8" hidden="1"/>
    <cellStyle name="Lien hypertexte" xfId="1521" builtinId="8" hidden="1"/>
    <cellStyle name="Lien hypertexte" xfId="1523" builtinId="8" hidden="1"/>
    <cellStyle name="Lien hypertexte" xfId="1525" builtinId="8" hidden="1"/>
    <cellStyle name="Lien hypertexte" xfId="1527" builtinId="8" hidden="1"/>
    <cellStyle name="Lien hypertexte" xfId="1529" builtinId="8" hidden="1"/>
    <cellStyle name="Lien hypertexte" xfId="1531" builtinId="8" hidden="1"/>
    <cellStyle name="Lien hypertexte" xfId="1533" builtinId="8" hidden="1"/>
    <cellStyle name="Lien hypertexte" xfId="1535" builtinId="8" hidden="1"/>
    <cellStyle name="Lien hypertexte" xfId="1537" builtinId="8" hidden="1"/>
    <cellStyle name="Lien hypertexte" xfId="1539" builtinId="8" hidden="1"/>
    <cellStyle name="Lien hypertexte" xfId="1541" builtinId="8" hidden="1"/>
    <cellStyle name="Lien hypertexte" xfId="1543" builtinId="8" hidden="1"/>
    <cellStyle name="Lien hypertexte" xfId="1545" builtinId="8" hidden="1"/>
    <cellStyle name="Lien hypertexte" xfId="1547" builtinId="8" hidden="1"/>
    <cellStyle name="Lien hypertexte" xfId="1549" builtinId="8" hidden="1"/>
    <cellStyle name="Lien hypertexte" xfId="1551" builtinId="8" hidden="1"/>
    <cellStyle name="Lien hypertexte" xfId="1553" builtinId="8" hidden="1"/>
    <cellStyle name="Lien hypertexte" xfId="1555" builtinId="8" hidden="1"/>
    <cellStyle name="Lien hypertexte" xfId="1557" builtinId="8" hidden="1"/>
    <cellStyle name="Lien hypertexte" xfId="1559" builtinId="8" hidden="1"/>
    <cellStyle name="Lien hypertexte" xfId="1561" builtinId="8" hidden="1"/>
    <cellStyle name="Lien hypertexte" xfId="1563" builtinId="8" hidden="1"/>
    <cellStyle name="Lien hypertexte" xfId="1565" builtinId="8" hidden="1"/>
    <cellStyle name="Lien hypertexte" xfId="1567" builtinId="8" hidden="1"/>
    <cellStyle name="Lien hypertexte" xfId="1569" builtinId="8" hidden="1"/>
    <cellStyle name="Lien hypertexte" xfId="1571" builtinId="8" hidden="1"/>
    <cellStyle name="Lien hypertexte" xfId="1573" builtinId="8" hidden="1"/>
    <cellStyle name="Lien hypertexte" xfId="1575" builtinId="8" hidden="1"/>
    <cellStyle name="Lien hypertexte" xfId="1577" builtinId="8" hidden="1"/>
    <cellStyle name="Lien hypertexte" xfId="1579" builtinId="8" hidden="1"/>
    <cellStyle name="Lien hypertexte" xfId="1581" builtinId="8" hidden="1"/>
    <cellStyle name="Lien hypertexte" xfId="1583" builtinId="8" hidden="1"/>
    <cellStyle name="Lien hypertexte" xfId="1585" builtinId="8" hidden="1"/>
    <cellStyle name="Lien hypertexte" xfId="1587" builtinId="8" hidden="1"/>
    <cellStyle name="Lien hypertexte" xfId="1589" builtinId="8" hidden="1"/>
    <cellStyle name="Lien hypertexte" xfId="1591" builtinId="8" hidden="1"/>
    <cellStyle name="Lien hypertexte" xfId="1593" builtinId="8" hidden="1"/>
    <cellStyle name="Lien hypertexte" xfId="1595" builtinId="8" hidden="1"/>
    <cellStyle name="Lien hypertexte" xfId="1597" builtinId="8" hidden="1"/>
    <cellStyle name="Lien hypertexte" xfId="1599" builtinId="8" hidden="1"/>
    <cellStyle name="Lien hypertexte" xfId="1601" builtinId="8" hidden="1"/>
    <cellStyle name="Lien hypertexte" xfId="1603" builtinId="8" hidden="1"/>
    <cellStyle name="Lien hypertexte" xfId="1605" builtinId="8" hidden="1"/>
    <cellStyle name="Lien hypertexte" xfId="1607" builtinId="8" hidden="1"/>
    <cellStyle name="Lien hypertexte" xfId="1609" builtinId="8" hidden="1"/>
    <cellStyle name="Lien hypertexte" xfId="1611" builtinId="8" hidden="1"/>
    <cellStyle name="Lien hypertexte" xfId="1613" builtinId="8" hidden="1"/>
    <cellStyle name="Lien hypertexte" xfId="1615" builtinId="8" hidden="1"/>
    <cellStyle name="Lien hypertexte" xfId="1617" builtinId="8" hidden="1"/>
    <cellStyle name="Lien hypertexte" xfId="1619" builtinId="8" hidden="1"/>
    <cellStyle name="Lien hypertexte" xfId="1621" builtinId="8" hidden="1"/>
    <cellStyle name="Lien hypertexte" xfId="1623" builtinId="8" hidden="1"/>
    <cellStyle name="Lien hypertexte" xfId="1625" builtinId="8" hidden="1"/>
    <cellStyle name="Lien hypertexte" xfId="1627" builtinId="8" hidden="1"/>
    <cellStyle name="Lien hypertexte" xfId="1629" builtinId="8" hidden="1"/>
    <cellStyle name="Lien hypertexte" xfId="1631" builtinId="8" hidden="1"/>
    <cellStyle name="Lien hypertexte" xfId="1633" builtinId="8" hidden="1"/>
    <cellStyle name="Lien hypertexte" xfId="1635" builtinId="8" hidden="1"/>
    <cellStyle name="Lien hypertexte" xfId="1637" builtinId="8" hidden="1"/>
    <cellStyle name="Lien hypertexte" xfId="1639" builtinId="8" hidden="1"/>
    <cellStyle name="Lien hypertexte" xfId="1641" builtinId="8" hidden="1"/>
    <cellStyle name="Lien hypertexte" xfId="1643" builtinId="8" hidden="1"/>
    <cellStyle name="Lien hypertexte" xfId="1645" builtinId="8" hidden="1"/>
    <cellStyle name="Lien hypertexte" xfId="1647" builtinId="8" hidden="1"/>
    <cellStyle name="Lien hypertexte" xfId="1649" builtinId="8" hidden="1"/>
    <cellStyle name="Lien hypertexte" xfId="1651" builtinId="8" hidden="1"/>
    <cellStyle name="Lien hypertexte" xfId="1653" builtinId="8" hidden="1"/>
    <cellStyle name="Lien hypertexte" xfId="1655" builtinId="8" hidden="1"/>
    <cellStyle name="Lien hypertexte" xfId="1657" builtinId="8" hidden="1"/>
    <cellStyle name="Lien hypertexte" xfId="1659" builtinId="8" hidden="1"/>
    <cellStyle name="Lien hypertexte" xfId="1661" builtinId="8" hidden="1"/>
    <cellStyle name="Lien hypertexte" xfId="1663" builtinId="8" hidden="1"/>
    <cellStyle name="Lien hypertexte" xfId="1665" builtinId="8" hidden="1"/>
    <cellStyle name="Lien hypertexte" xfId="1667" builtinId="8" hidden="1"/>
    <cellStyle name="Lien hypertexte" xfId="1669" builtinId="8" hidden="1"/>
    <cellStyle name="Lien hypertexte" xfId="1671" builtinId="8" hidden="1"/>
    <cellStyle name="Lien hypertexte" xfId="1673" builtinId="8" hidden="1"/>
    <cellStyle name="Lien hypertexte" xfId="1675" builtinId="8" hidden="1"/>
    <cellStyle name="Lien hypertexte" xfId="1677" builtinId="8" hidden="1"/>
    <cellStyle name="Lien hypertexte" xfId="1679" builtinId="8" hidden="1"/>
    <cellStyle name="Lien hypertexte" xfId="1681" builtinId="8" hidden="1"/>
    <cellStyle name="Lien hypertexte" xfId="1683" builtinId="8" hidden="1"/>
    <cellStyle name="Lien hypertexte" xfId="1685" builtinId="8" hidden="1"/>
    <cellStyle name="Lien hypertexte" xfId="1687" builtinId="8" hidden="1"/>
    <cellStyle name="Lien hypertexte" xfId="1689" builtinId="8" hidden="1"/>
    <cellStyle name="Lien hypertexte" xfId="1691" builtinId="8" hidden="1"/>
    <cellStyle name="Lien hypertexte" xfId="1693" builtinId="8" hidden="1"/>
    <cellStyle name="Lien hypertexte" xfId="1695" builtinId="8" hidden="1"/>
    <cellStyle name="Lien hypertexte" xfId="1697" builtinId="8" hidden="1"/>
    <cellStyle name="Lien hypertexte" xfId="1699" builtinId="8" hidden="1"/>
    <cellStyle name="Lien hypertexte" xfId="1701" builtinId="8" hidden="1"/>
    <cellStyle name="Lien hypertexte" xfId="1703" builtinId="8" hidden="1"/>
    <cellStyle name="Lien hypertexte" xfId="1705" builtinId="8" hidden="1"/>
    <cellStyle name="Lien hypertexte" xfId="1707" builtinId="8" hidden="1"/>
    <cellStyle name="Lien hypertexte" xfId="1709" builtinId="8" hidden="1"/>
    <cellStyle name="Lien hypertexte" xfId="1711" builtinId="8" hidden="1"/>
    <cellStyle name="Lien hypertexte" xfId="1713" builtinId="8" hidden="1"/>
    <cellStyle name="Lien hypertexte" xfId="1715" builtinId="8" hidden="1"/>
    <cellStyle name="Lien hypertexte" xfId="1717" builtinId="8" hidden="1"/>
    <cellStyle name="Lien hypertexte" xfId="1719" builtinId="8" hidden="1"/>
    <cellStyle name="Lien hypertexte" xfId="1721" builtinId="8" hidden="1"/>
    <cellStyle name="Lien hypertexte" xfId="1723" builtinId="8" hidden="1"/>
    <cellStyle name="Lien hypertexte" xfId="1725" builtinId="8" hidden="1"/>
    <cellStyle name="Lien hypertexte" xfId="1727" builtinId="8" hidden="1"/>
    <cellStyle name="Lien hypertexte" xfId="1729" builtinId="8" hidden="1"/>
    <cellStyle name="Lien hypertexte" xfId="1731" builtinId="8" hidden="1"/>
    <cellStyle name="Lien hypertexte" xfId="1733" builtinId="8" hidden="1"/>
    <cellStyle name="Lien hypertexte" xfId="1735" builtinId="8" hidden="1"/>
    <cellStyle name="Lien hypertexte" xfId="1737" builtinId="8" hidden="1"/>
    <cellStyle name="Lien hypertexte" xfId="1739" builtinId="8" hidden="1"/>
    <cellStyle name="Lien hypertexte" xfId="1741" builtinId="8" hidden="1"/>
    <cellStyle name="Lien hypertexte" xfId="1743" builtinId="8" hidden="1"/>
    <cellStyle name="Lien hypertexte" xfId="1745" builtinId="8" hidden="1"/>
    <cellStyle name="Lien hypertexte" xfId="1747" builtinId="8" hidden="1"/>
    <cellStyle name="Lien hypertexte" xfId="1749" builtinId="8" hidden="1"/>
    <cellStyle name="Lien hypertexte" xfId="1751" builtinId="8" hidden="1"/>
    <cellStyle name="Lien hypertexte" xfId="1753" builtinId="8" hidden="1"/>
    <cellStyle name="Lien hypertexte" xfId="1755" builtinId="8" hidden="1"/>
    <cellStyle name="Lien hypertexte" xfId="1757" builtinId="8" hidden="1"/>
    <cellStyle name="Lien hypertexte" xfId="1759" builtinId="8" hidden="1"/>
    <cellStyle name="Lien hypertexte" xfId="1761" builtinId="8" hidden="1"/>
    <cellStyle name="Lien hypertexte" xfId="1763" builtinId="8" hidden="1"/>
    <cellStyle name="Lien hypertexte" xfId="1765" builtinId="8" hidden="1"/>
    <cellStyle name="Lien hypertexte" xfId="1767" builtinId="8" hidden="1"/>
    <cellStyle name="Lien hypertexte" xfId="1769" builtinId="8" hidden="1"/>
    <cellStyle name="Lien hypertexte" xfId="1771" builtinId="8" hidden="1"/>
    <cellStyle name="Lien hypertexte" xfId="1773" builtinId="8" hidden="1"/>
    <cellStyle name="Lien hypertexte" xfId="1775" builtinId="8" hidden="1"/>
    <cellStyle name="Lien hypertexte" xfId="1777" builtinId="8" hidden="1"/>
    <cellStyle name="Lien hypertexte" xfId="1779" builtinId="8" hidden="1"/>
    <cellStyle name="Lien hypertexte" xfId="1781" builtinId="8" hidden="1"/>
    <cellStyle name="Lien hypertexte" xfId="1783" builtinId="8" hidden="1"/>
    <cellStyle name="Lien hypertexte" xfId="1785" builtinId="8" hidden="1"/>
    <cellStyle name="Lien hypertexte" xfId="1787" builtinId="8" hidden="1"/>
    <cellStyle name="Lien hypertexte" xfId="1789" builtinId="8" hidden="1"/>
    <cellStyle name="Lien hypertexte" xfId="1791" builtinId="8" hidden="1"/>
    <cellStyle name="Lien hypertexte" xfId="1793" builtinId="8" hidden="1"/>
    <cellStyle name="Lien hypertexte" xfId="1795" builtinId="8" hidden="1"/>
    <cellStyle name="Lien hypertexte" xfId="1797" builtinId="8" hidden="1"/>
    <cellStyle name="Lien hypertexte" xfId="1799" builtinId="8" hidden="1"/>
    <cellStyle name="Lien hypertexte" xfId="1801" builtinId="8" hidden="1"/>
    <cellStyle name="Lien hypertexte" xfId="1803" builtinId="8" hidden="1"/>
    <cellStyle name="Lien hypertexte" xfId="1805" builtinId="8" hidden="1"/>
    <cellStyle name="Lien hypertexte" xfId="1807" builtinId="8" hidden="1"/>
    <cellStyle name="Lien hypertexte" xfId="1809" builtinId="8" hidden="1"/>
    <cellStyle name="Lien hypertexte" xfId="1811" builtinId="8" hidden="1"/>
    <cellStyle name="Lien hypertexte" xfId="1813" builtinId="8" hidden="1"/>
    <cellStyle name="Lien hypertexte" xfId="1815" builtinId="8" hidden="1"/>
    <cellStyle name="Lien hypertexte" xfId="1817" builtinId="8" hidden="1"/>
    <cellStyle name="Lien hypertexte" xfId="1819" builtinId="8" hidden="1"/>
    <cellStyle name="Lien hypertexte" xfId="1821" builtinId="8" hidden="1"/>
    <cellStyle name="Lien hypertexte" xfId="1823" builtinId="8" hidden="1"/>
    <cellStyle name="Lien hypertexte" xfId="1825" builtinId="8" hidden="1"/>
    <cellStyle name="Lien hypertexte" xfId="1827" builtinId="8" hidden="1"/>
    <cellStyle name="Lien hypertexte" xfId="1829" builtinId="8" hidden="1"/>
    <cellStyle name="Lien hypertexte" xfId="1831" builtinId="8" hidden="1"/>
    <cellStyle name="Lien hypertexte" xfId="1833" builtinId="8" hidden="1"/>
    <cellStyle name="Lien hypertexte" xfId="1835" builtinId="8" hidden="1"/>
    <cellStyle name="Lien hypertexte" xfId="1837" builtinId="8" hidden="1"/>
    <cellStyle name="Lien hypertexte" xfId="1839" builtinId="8" hidden="1"/>
    <cellStyle name="Lien hypertexte" xfId="1841" builtinId="8" hidden="1"/>
    <cellStyle name="Lien hypertexte" xfId="1843" builtinId="8" hidden="1"/>
    <cellStyle name="Lien hypertexte" xfId="1845" builtinId="8" hidden="1"/>
    <cellStyle name="Lien hypertexte" xfId="1847" builtinId="8" hidden="1"/>
    <cellStyle name="Lien hypertexte" xfId="1849" builtinId="8" hidden="1"/>
    <cellStyle name="Lien hypertexte" xfId="1851" builtinId="8" hidden="1"/>
    <cellStyle name="Lien hypertexte" xfId="1853" builtinId="8" hidden="1"/>
    <cellStyle name="Lien hypertexte" xfId="1855" builtinId="8" hidden="1"/>
    <cellStyle name="Lien hypertexte" xfId="1857" builtinId="8" hidden="1"/>
    <cellStyle name="Lien hypertexte" xfId="1859" builtinId="8" hidden="1"/>
    <cellStyle name="Lien hypertexte" xfId="1861" builtinId="8" hidden="1"/>
    <cellStyle name="Lien hypertexte" xfId="1863" builtinId="8" hidden="1"/>
    <cellStyle name="Lien hypertexte" xfId="1865" builtinId="8" hidden="1"/>
    <cellStyle name="Lien hypertexte" xfId="1867" builtinId="8" hidden="1"/>
    <cellStyle name="Lien hypertexte" xfId="1869" builtinId="8" hidden="1"/>
    <cellStyle name="Lien hypertexte" xfId="1871" builtinId="8" hidden="1"/>
    <cellStyle name="Lien hypertexte" xfId="1873" builtinId="8" hidden="1"/>
    <cellStyle name="Lien hypertexte" xfId="1875" builtinId="8" hidden="1"/>
    <cellStyle name="Lien hypertexte" xfId="1877" builtinId="8" hidden="1"/>
    <cellStyle name="Lien hypertexte" xfId="1879" builtinId="8" hidden="1"/>
    <cellStyle name="Lien hypertexte" xfId="1881" builtinId="8" hidden="1"/>
    <cellStyle name="Lien hypertexte" xfId="1883" builtinId="8" hidden="1"/>
    <cellStyle name="Lien hypertexte" xfId="1885" builtinId="8" hidden="1"/>
    <cellStyle name="Lien hypertexte" xfId="1887" builtinId="8" hidden="1"/>
    <cellStyle name="Lien hypertexte" xfId="1889" builtinId="8" hidden="1"/>
    <cellStyle name="Lien hypertexte" xfId="1891" builtinId="8" hidden="1"/>
    <cellStyle name="Lien hypertexte" xfId="1893" builtinId="8" hidden="1"/>
    <cellStyle name="Lien hypertexte" xfId="1895" builtinId="8" hidden="1"/>
    <cellStyle name="Lien hypertexte" xfId="1897"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2" builtinId="9" hidden="1"/>
    <cellStyle name="Lien hypertexte visité" xfId="34" builtinId="9" hidden="1"/>
    <cellStyle name="Lien hypertexte visité" xfId="36" builtinId="9" hidden="1"/>
    <cellStyle name="Lien hypertexte visité" xfId="38" builtinId="9" hidden="1"/>
    <cellStyle name="Lien hypertexte visité" xfId="40" builtinId="9" hidden="1"/>
    <cellStyle name="Lien hypertexte visité" xfId="42" builtinId="9" hidden="1"/>
    <cellStyle name="Lien hypertexte visité" xfId="44" builtinId="9" hidden="1"/>
    <cellStyle name="Lien hypertexte visité" xfId="46" builtinId="9" hidden="1"/>
    <cellStyle name="Lien hypertexte visité" xfId="48" builtinId="9" hidden="1"/>
    <cellStyle name="Lien hypertexte visité" xfId="50" builtinId="9" hidden="1"/>
    <cellStyle name="Lien hypertexte visité" xfId="52" builtinId="9" hidden="1"/>
    <cellStyle name="Lien hypertexte visité" xfId="54" builtinId="9" hidden="1"/>
    <cellStyle name="Lien hypertexte visité" xfId="56" builtinId="9" hidden="1"/>
    <cellStyle name="Lien hypertexte visité" xfId="58" builtinId="9" hidden="1"/>
    <cellStyle name="Lien hypertexte visité" xfId="60" builtinId="9" hidden="1"/>
    <cellStyle name="Lien hypertexte visité" xfId="62" builtinId="9" hidden="1"/>
    <cellStyle name="Lien hypertexte visité" xfId="64" builtinId="9" hidden="1"/>
    <cellStyle name="Lien hypertexte visité" xfId="66" builtinId="9" hidden="1"/>
    <cellStyle name="Lien hypertexte visité" xfId="68" builtinId="9" hidden="1"/>
    <cellStyle name="Lien hypertexte visité" xfId="70" builtinId="9" hidden="1"/>
    <cellStyle name="Lien hypertexte visité" xfId="72" builtinId="9" hidden="1"/>
    <cellStyle name="Lien hypertexte visité" xfId="74" builtinId="9" hidden="1"/>
    <cellStyle name="Lien hypertexte visité" xfId="76" builtinId="9" hidden="1"/>
    <cellStyle name="Lien hypertexte visité" xfId="78" builtinId="9" hidden="1"/>
    <cellStyle name="Lien hypertexte visité" xfId="80" builtinId="9" hidden="1"/>
    <cellStyle name="Lien hypertexte visité" xfId="82" builtinId="9" hidden="1"/>
    <cellStyle name="Lien hypertexte visité" xfId="84" builtinId="9" hidden="1"/>
    <cellStyle name="Lien hypertexte visité" xfId="86" builtinId="9" hidden="1"/>
    <cellStyle name="Lien hypertexte visité" xfId="88" builtinId="9" hidden="1"/>
    <cellStyle name="Lien hypertexte visité" xfId="90" builtinId="9" hidden="1"/>
    <cellStyle name="Lien hypertexte visité" xfId="92" builtinId="9" hidden="1"/>
    <cellStyle name="Lien hypertexte visité" xfId="94" builtinId="9" hidden="1"/>
    <cellStyle name="Lien hypertexte visité" xfId="96" builtinId="9" hidden="1"/>
    <cellStyle name="Lien hypertexte visité" xfId="98" builtinId="9" hidden="1"/>
    <cellStyle name="Lien hypertexte visité" xfId="100" builtinId="9" hidden="1"/>
    <cellStyle name="Lien hypertexte visité" xfId="102" builtinId="9" hidden="1"/>
    <cellStyle name="Lien hypertexte visité" xfId="104" builtinId="9" hidden="1"/>
    <cellStyle name="Lien hypertexte visité" xfId="106" builtinId="9" hidden="1"/>
    <cellStyle name="Lien hypertexte visité" xfId="108" builtinId="9" hidden="1"/>
    <cellStyle name="Lien hypertexte visité" xfId="110" builtinId="9" hidden="1"/>
    <cellStyle name="Lien hypertexte visité" xfId="112" builtinId="9" hidden="1"/>
    <cellStyle name="Lien hypertexte visité" xfId="114" builtinId="9" hidden="1"/>
    <cellStyle name="Lien hypertexte visité" xfId="116" builtinId="9" hidden="1"/>
    <cellStyle name="Lien hypertexte visité" xfId="118" builtinId="9"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6" builtinId="9" hidden="1"/>
    <cellStyle name="Lien hypertexte visité" xfId="148" builtinId="9" hidden="1"/>
    <cellStyle name="Lien hypertexte visité" xfId="150" builtinId="9" hidden="1"/>
    <cellStyle name="Lien hypertexte visité" xfId="152" builtinId="9" hidden="1"/>
    <cellStyle name="Lien hypertexte visité" xfId="154" builtinId="9" hidden="1"/>
    <cellStyle name="Lien hypertexte visité" xfId="157" builtinId="9" hidden="1"/>
    <cellStyle name="Lien hypertexte visité" xfId="159" builtinId="9" hidden="1"/>
    <cellStyle name="Lien hypertexte visité" xfId="161" builtinId="9" hidden="1"/>
    <cellStyle name="Lien hypertexte visité" xfId="163" builtinId="9" hidden="1"/>
    <cellStyle name="Lien hypertexte visité" xfId="165" builtinId="9" hidden="1"/>
    <cellStyle name="Lien hypertexte visité" xfId="167" builtinId="9" hidden="1"/>
    <cellStyle name="Lien hypertexte visité" xfId="169" builtinId="9" hidden="1"/>
    <cellStyle name="Lien hypertexte visité" xfId="171" builtinId="9" hidden="1"/>
    <cellStyle name="Lien hypertexte visité" xfId="173" builtinId="9" hidden="1"/>
    <cellStyle name="Lien hypertexte visité" xfId="175" builtinId="9" hidden="1"/>
    <cellStyle name="Lien hypertexte visité" xfId="177" builtinId="9" hidden="1"/>
    <cellStyle name="Lien hypertexte visité" xfId="179" builtinId="9" hidden="1"/>
    <cellStyle name="Lien hypertexte visité" xfId="181" builtinId="9" hidden="1"/>
    <cellStyle name="Lien hypertexte visité" xfId="183" builtinId="9" hidden="1"/>
    <cellStyle name="Lien hypertexte visité" xfId="185" builtinId="9" hidden="1"/>
    <cellStyle name="Lien hypertexte visité" xfId="187" builtinId="9" hidden="1"/>
    <cellStyle name="Lien hypertexte visité" xfId="189" builtinId="9" hidden="1"/>
    <cellStyle name="Lien hypertexte visité" xfId="191" builtinId="9" hidden="1"/>
    <cellStyle name="Lien hypertexte visité" xfId="193" builtinId="9" hidden="1"/>
    <cellStyle name="Lien hypertexte visité" xfId="195" builtinId="9" hidden="1"/>
    <cellStyle name="Lien hypertexte visité" xfId="197" builtinId="9" hidden="1"/>
    <cellStyle name="Lien hypertexte visité" xfId="199" builtinId="9" hidden="1"/>
    <cellStyle name="Lien hypertexte visité" xfId="201" builtinId="9" hidden="1"/>
    <cellStyle name="Lien hypertexte visité" xfId="203" builtinId="9" hidden="1"/>
    <cellStyle name="Lien hypertexte visité" xfId="205" builtinId="9" hidden="1"/>
    <cellStyle name="Lien hypertexte visité" xfId="207" builtinId="9" hidden="1"/>
    <cellStyle name="Lien hypertexte visité" xfId="209" builtinId="9" hidden="1"/>
    <cellStyle name="Lien hypertexte visité" xfId="211" builtinId="9" hidden="1"/>
    <cellStyle name="Lien hypertexte visité" xfId="213" builtinId="9" hidden="1"/>
    <cellStyle name="Lien hypertexte visité" xfId="215" builtinId="9" hidden="1"/>
    <cellStyle name="Lien hypertexte visité" xfId="217" builtinId="9" hidden="1"/>
    <cellStyle name="Lien hypertexte visité" xfId="219" builtinId="9" hidden="1"/>
    <cellStyle name="Lien hypertexte visité" xfId="221" builtinId="9" hidden="1"/>
    <cellStyle name="Lien hypertexte visité" xfId="223" builtinId="9" hidden="1"/>
    <cellStyle name="Lien hypertexte visité" xfId="225" builtinId="9" hidden="1"/>
    <cellStyle name="Lien hypertexte visité" xfId="227" builtinId="9" hidden="1"/>
    <cellStyle name="Lien hypertexte visité" xfId="229" builtinId="9" hidden="1"/>
    <cellStyle name="Lien hypertexte visité" xfId="231" builtinId="9" hidden="1"/>
    <cellStyle name="Lien hypertexte visité" xfId="233" builtinId="9" hidden="1"/>
    <cellStyle name="Lien hypertexte visité" xfId="235" builtinId="9" hidden="1"/>
    <cellStyle name="Lien hypertexte visité" xfId="237" builtinId="9" hidden="1"/>
    <cellStyle name="Lien hypertexte visité" xfId="239" builtinId="9" hidden="1"/>
    <cellStyle name="Lien hypertexte visité" xfId="241" builtinId="9" hidden="1"/>
    <cellStyle name="Lien hypertexte visité" xfId="243" builtinId="9" hidden="1"/>
    <cellStyle name="Lien hypertexte visité" xfId="245" builtinId="9" hidden="1"/>
    <cellStyle name="Lien hypertexte visité" xfId="247" builtinId="9" hidden="1"/>
    <cellStyle name="Lien hypertexte visité" xfId="249" builtinId="9" hidden="1"/>
    <cellStyle name="Lien hypertexte visité" xfId="251" builtinId="9" hidden="1"/>
    <cellStyle name="Lien hypertexte visité" xfId="253" builtinId="9" hidden="1"/>
    <cellStyle name="Lien hypertexte visité" xfId="255" builtinId="9" hidden="1"/>
    <cellStyle name="Lien hypertexte visité" xfId="257" builtinId="9" hidden="1"/>
    <cellStyle name="Lien hypertexte visité" xfId="259" builtinId="9" hidden="1"/>
    <cellStyle name="Lien hypertexte visité" xfId="261" builtinId="9" hidden="1"/>
    <cellStyle name="Lien hypertexte visité" xfId="263" builtinId="9" hidden="1"/>
    <cellStyle name="Lien hypertexte visité" xfId="265" builtinId="9" hidden="1"/>
    <cellStyle name="Lien hypertexte visité" xfId="267" builtinId="9" hidden="1"/>
    <cellStyle name="Lien hypertexte visité" xfId="269" builtinId="9" hidden="1"/>
    <cellStyle name="Lien hypertexte visité" xfId="271" builtinId="9" hidden="1"/>
    <cellStyle name="Lien hypertexte visité" xfId="273" builtinId="9" hidden="1"/>
    <cellStyle name="Lien hypertexte visité" xfId="275" builtinId="9" hidden="1"/>
    <cellStyle name="Lien hypertexte visité" xfId="277" builtinId="9" hidden="1"/>
    <cellStyle name="Lien hypertexte visité" xfId="279" builtinId="9" hidden="1"/>
    <cellStyle name="Lien hypertexte visité" xfId="281" builtinId="9" hidden="1"/>
    <cellStyle name="Lien hypertexte visité" xfId="283" builtinId="9" hidden="1"/>
    <cellStyle name="Lien hypertexte visité" xfId="285" builtinId="9" hidden="1"/>
    <cellStyle name="Lien hypertexte visité" xfId="287" builtinId="9" hidden="1"/>
    <cellStyle name="Lien hypertexte visité" xfId="289" builtinId="9" hidden="1"/>
    <cellStyle name="Lien hypertexte visité" xfId="291" builtinId="9" hidden="1"/>
    <cellStyle name="Lien hypertexte visité" xfId="293" builtinId="9" hidden="1"/>
    <cellStyle name="Lien hypertexte visité" xfId="295" builtinId="9" hidden="1"/>
    <cellStyle name="Lien hypertexte visité" xfId="297" builtinId="9" hidden="1"/>
    <cellStyle name="Lien hypertexte visité" xfId="299" builtinId="9" hidden="1"/>
    <cellStyle name="Lien hypertexte visité" xfId="301" builtinId="9" hidden="1"/>
    <cellStyle name="Lien hypertexte visité" xfId="303" builtinId="9" hidden="1"/>
    <cellStyle name="Lien hypertexte visité" xfId="305" builtinId="9" hidden="1"/>
    <cellStyle name="Lien hypertexte visité" xfId="307" builtinId="9" hidden="1"/>
    <cellStyle name="Lien hypertexte visité" xfId="309" builtinId="9" hidden="1"/>
    <cellStyle name="Lien hypertexte visité" xfId="311" builtinId="9" hidden="1"/>
    <cellStyle name="Lien hypertexte visité" xfId="313" builtinId="9" hidden="1"/>
    <cellStyle name="Lien hypertexte visité" xfId="315" builtinId="9" hidden="1"/>
    <cellStyle name="Lien hypertexte visité" xfId="317" builtinId="9" hidden="1"/>
    <cellStyle name="Lien hypertexte visité" xfId="319" builtinId="9" hidden="1"/>
    <cellStyle name="Lien hypertexte visité" xfId="321" builtinId="9" hidden="1"/>
    <cellStyle name="Lien hypertexte visité" xfId="323" builtinId="9" hidden="1"/>
    <cellStyle name="Lien hypertexte visité" xfId="325" builtinId="9" hidden="1"/>
    <cellStyle name="Lien hypertexte visité" xfId="327" builtinId="9" hidden="1"/>
    <cellStyle name="Lien hypertexte visité" xfId="329" builtinId="9" hidden="1"/>
    <cellStyle name="Lien hypertexte visité" xfId="331" builtinId="9" hidden="1"/>
    <cellStyle name="Lien hypertexte visité" xfId="333" builtinId="9" hidden="1"/>
    <cellStyle name="Lien hypertexte visité" xfId="335" builtinId="9" hidden="1"/>
    <cellStyle name="Lien hypertexte visité" xfId="337" builtinId="9" hidden="1"/>
    <cellStyle name="Lien hypertexte visité" xfId="339" builtinId="9" hidden="1"/>
    <cellStyle name="Lien hypertexte visité" xfId="341" builtinId="9" hidden="1"/>
    <cellStyle name="Lien hypertexte visité" xfId="343" builtinId="9" hidden="1"/>
    <cellStyle name="Lien hypertexte visité" xfId="345" builtinId="9" hidden="1"/>
    <cellStyle name="Lien hypertexte visité" xfId="347" builtinId="9" hidden="1"/>
    <cellStyle name="Lien hypertexte visité" xfId="349" builtinId="9" hidden="1"/>
    <cellStyle name="Lien hypertexte visité" xfId="351" builtinId="9" hidden="1"/>
    <cellStyle name="Lien hypertexte visité" xfId="353" builtinId="9" hidden="1"/>
    <cellStyle name="Lien hypertexte visité" xfId="355" builtinId="9" hidden="1"/>
    <cellStyle name="Lien hypertexte visité" xfId="357" builtinId="9" hidden="1"/>
    <cellStyle name="Lien hypertexte visité" xfId="359" builtinId="9" hidden="1"/>
    <cellStyle name="Lien hypertexte visité" xfId="361" builtinId="9" hidden="1"/>
    <cellStyle name="Lien hypertexte visité" xfId="363" builtinId="9" hidden="1"/>
    <cellStyle name="Lien hypertexte visité" xfId="365" builtinId="9" hidden="1"/>
    <cellStyle name="Lien hypertexte visité" xfId="367" builtinId="9" hidden="1"/>
    <cellStyle name="Lien hypertexte visité" xfId="369" builtinId="9" hidden="1"/>
    <cellStyle name="Lien hypertexte visité" xfId="371" builtinId="9" hidden="1"/>
    <cellStyle name="Lien hypertexte visité" xfId="373" builtinId="9" hidden="1"/>
    <cellStyle name="Lien hypertexte visité" xfId="375" builtinId="9" hidden="1"/>
    <cellStyle name="Lien hypertexte visité" xfId="377" builtinId="9" hidden="1"/>
    <cellStyle name="Lien hypertexte visité" xfId="379" builtinId="9" hidden="1"/>
    <cellStyle name="Lien hypertexte visité" xfId="381" builtinId="9" hidden="1"/>
    <cellStyle name="Lien hypertexte visité" xfId="383" builtinId="9" hidden="1"/>
    <cellStyle name="Lien hypertexte visité" xfId="385" builtinId="9" hidden="1"/>
    <cellStyle name="Lien hypertexte visité" xfId="387" builtinId="9" hidden="1"/>
    <cellStyle name="Lien hypertexte visité" xfId="389" builtinId="9" hidden="1"/>
    <cellStyle name="Lien hypertexte visité" xfId="391" builtinId="9" hidden="1"/>
    <cellStyle name="Lien hypertexte visité" xfId="393" builtinId="9" hidden="1"/>
    <cellStyle name="Lien hypertexte visité" xfId="395" builtinId="9" hidden="1"/>
    <cellStyle name="Lien hypertexte visité" xfId="397" builtinId="9" hidden="1"/>
    <cellStyle name="Lien hypertexte visité" xfId="399" builtinId="9" hidden="1"/>
    <cellStyle name="Lien hypertexte visité" xfId="401" builtinId="9" hidden="1"/>
    <cellStyle name="Lien hypertexte visité" xfId="403" builtinId="9" hidden="1"/>
    <cellStyle name="Lien hypertexte visité" xfId="405" builtinId="9" hidden="1"/>
    <cellStyle name="Lien hypertexte visité" xfId="407" builtinId="9" hidden="1"/>
    <cellStyle name="Lien hypertexte visité" xfId="409" builtinId="9" hidden="1"/>
    <cellStyle name="Lien hypertexte visité" xfId="411" builtinId="9" hidden="1"/>
    <cellStyle name="Lien hypertexte visité" xfId="413" builtinId="9" hidden="1"/>
    <cellStyle name="Lien hypertexte visité" xfId="415" builtinId="9" hidden="1"/>
    <cellStyle name="Lien hypertexte visité" xfId="417" builtinId="9" hidden="1"/>
    <cellStyle name="Lien hypertexte visité" xfId="419" builtinId="9" hidden="1"/>
    <cellStyle name="Lien hypertexte visité" xfId="421" builtinId="9" hidden="1"/>
    <cellStyle name="Lien hypertexte visité" xfId="423" builtinId="9" hidden="1"/>
    <cellStyle name="Lien hypertexte visité" xfId="425" builtinId="9" hidden="1"/>
    <cellStyle name="Lien hypertexte visité" xfId="427" builtinId="9" hidden="1"/>
    <cellStyle name="Lien hypertexte visité" xfId="429" builtinId="9" hidden="1"/>
    <cellStyle name="Lien hypertexte visité" xfId="431" builtinId="9" hidden="1"/>
    <cellStyle name="Lien hypertexte visité" xfId="433" builtinId="9" hidden="1"/>
    <cellStyle name="Lien hypertexte visité" xfId="435" builtinId="9" hidden="1"/>
    <cellStyle name="Lien hypertexte visité" xfId="437" builtinId="9" hidden="1"/>
    <cellStyle name="Lien hypertexte visité" xfId="439" builtinId="9" hidden="1"/>
    <cellStyle name="Lien hypertexte visité" xfId="441" builtinId="9" hidden="1"/>
    <cellStyle name="Lien hypertexte visité" xfId="443" builtinId="9" hidden="1"/>
    <cellStyle name="Lien hypertexte visité" xfId="445" builtinId="9" hidden="1"/>
    <cellStyle name="Lien hypertexte visité" xfId="447" builtinId="9" hidden="1"/>
    <cellStyle name="Lien hypertexte visité" xfId="449" builtinId="9" hidden="1"/>
    <cellStyle name="Lien hypertexte visité" xfId="451" builtinId="9" hidden="1"/>
    <cellStyle name="Lien hypertexte visité" xfId="453" builtinId="9" hidden="1"/>
    <cellStyle name="Lien hypertexte visité" xfId="455" builtinId="9" hidden="1"/>
    <cellStyle name="Lien hypertexte visité" xfId="457" builtinId="9" hidden="1"/>
    <cellStyle name="Lien hypertexte visité" xfId="459" builtinId="9" hidden="1"/>
    <cellStyle name="Lien hypertexte visité" xfId="461" builtinId="9" hidden="1"/>
    <cellStyle name="Lien hypertexte visité" xfId="463" builtinId="9" hidden="1"/>
    <cellStyle name="Lien hypertexte visité" xfId="465" builtinId="9" hidden="1"/>
    <cellStyle name="Lien hypertexte visité" xfId="467" builtinId="9" hidden="1"/>
    <cellStyle name="Lien hypertexte visité" xfId="469" builtinId="9" hidden="1"/>
    <cellStyle name="Lien hypertexte visité" xfId="471" builtinId="9" hidden="1"/>
    <cellStyle name="Lien hypertexte visité" xfId="473" builtinId="9" hidden="1"/>
    <cellStyle name="Lien hypertexte visité" xfId="475" builtinId="9" hidden="1"/>
    <cellStyle name="Lien hypertexte visité" xfId="477" builtinId="9" hidden="1"/>
    <cellStyle name="Lien hypertexte visité" xfId="479" builtinId="9" hidden="1"/>
    <cellStyle name="Lien hypertexte visité" xfId="481" builtinId="9" hidden="1"/>
    <cellStyle name="Lien hypertexte visité" xfId="483" builtinId="9" hidden="1"/>
    <cellStyle name="Lien hypertexte visité" xfId="485" builtinId="9" hidden="1"/>
    <cellStyle name="Lien hypertexte visité" xfId="487" builtinId="9" hidden="1"/>
    <cellStyle name="Lien hypertexte visité" xfId="489" builtinId="9" hidden="1"/>
    <cellStyle name="Lien hypertexte visité" xfId="491" builtinId="9" hidden="1"/>
    <cellStyle name="Lien hypertexte visité" xfId="493" builtinId="9" hidden="1"/>
    <cellStyle name="Lien hypertexte visité" xfId="495" builtinId="9" hidden="1"/>
    <cellStyle name="Lien hypertexte visité" xfId="497" builtinId="9" hidden="1"/>
    <cellStyle name="Lien hypertexte visité" xfId="499" builtinId="9" hidden="1"/>
    <cellStyle name="Lien hypertexte visité" xfId="501" builtinId="9" hidden="1"/>
    <cellStyle name="Lien hypertexte visité" xfId="503" builtinId="9" hidden="1"/>
    <cellStyle name="Lien hypertexte visité" xfId="505" builtinId="9" hidden="1"/>
    <cellStyle name="Lien hypertexte visité" xfId="507" builtinId="9" hidden="1"/>
    <cellStyle name="Lien hypertexte visité" xfId="509" builtinId="9" hidden="1"/>
    <cellStyle name="Lien hypertexte visité" xfId="511" builtinId="9" hidden="1"/>
    <cellStyle name="Lien hypertexte visité" xfId="513" builtinId="9" hidden="1"/>
    <cellStyle name="Lien hypertexte visité" xfId="515" builtinId="9" hidden="1"/>
    <cellStyle name="Lien hypertexte visité" xfId="517" builtinId="9" hidden="1"/>
    <cellStyle name="Lien hypertexte visité" xfId="519" builtinId="9" hidden="1"/>
    <cellStyle name="Lien hypertexte visité" xfId="521" builtinId="9" hidden="1"/>
    <cellStyle name="Lien hypertexte visité" xfId="523" builtinId="9" hidden="1"/>
    <cellStyle name="Lien hypertexte visité" xfId="525" builtinId="9" hidden="1"/>
    <cellStyle name="Lien hypertexte visité" xfId="527" builtinId="9" hidden="1"/>
    <cellStyle name="Lien hypertexte visité" xfId="529" builtinId="9" hidden="1"/>
    <cellStyle name="Lien hypertexte visité" xfId="531" builtinId="9" hidden="1"/>
    <cellStyle name="Lien hypertexte visité" xfId="533" builtinId="9" hidden="1"/>
    <cellStyle name="Lien hypertexte visité" xfId="535" builtinId="9" hidden="1"/>
    <cellStyle name="Lien hypertexte visité" xfId="537" builtinId="9" hidden="1"/>
    <cellStyle name="Lien hypertexte visité" xfId="539" builtinId="9" hidden="1"/>
    <cellStyle name="Lien hypertexte visité" xfId="541" builtinId="9" hidden="1"/>
    <cellStyle name="Lien hypertexte visité" xfId="543" builtinId="9" hidden="1"/>
    <cellStyle name="Lien hypertexte visité" xfId="545" builtinId="9" hidden="1"/>
    <cellStyle name="Lien hypertexte visité" xfId="547" builtinId="9" hidden="1"/>
    <cellStyle name="Lien hypertexte visité" xfId="549" builtinId="9" hidden="1"/>
    <cellStyle name="Lien hypertexte visité" xfId="551" builtinId="9" hidden="1"/>
    <cellStyle name="Lien hypertexte visité" xfId="553" builtinId="9" hidden="1"/>
    <cellStyle name="Lien hypertexte visité" xfId="555" builtinId="9" hidden="1"/>
    <cellStyle name="Lien hypertexte visité" xfId="557" builtinId="9" hidden="1"/>
    <cellStyle name="Lien hypertexte visité" xfId="559" builtinId="9" hidden="1"/>
    <cellStyle name="Lien hypertexte visité" xfId="561" builtinId="9" hidden="1"/>
    <cellStyle name="Lien hypertexte visité" xfId="563" builtinId="9" hidden="1"/>
    <cellStyle name="Lien hypertexte visité" xfId="565" builtinId="9" hidden="1"/>
    <cellStyle name="Lien hypertexte visité" xfId="567" builtinId="9" hidden="1"/>
    <cellStyle name="Lien hypertexte visité" xfId="569" builtinId="9" hidden="1"/>
    <cellStyle name="Lien hypertexte visité" xfId="571" builtinId="9" hidden="1"/>
    <cellStyle name="Lien hypertexte visité" xfId="573" builtinId="9" hidden="1"/>
    <cellStyle name="Lien hypertexte visité" xfId="575" builtinId="9" hidden="1"/>
    <cellStyle name="Lien hypertexte visité" xfId="577" builtinId="9" hidden="1"/>
    <cellStyle name="Lien hypertexte visité" xfId="579" builtinId="9" hidden="1"/>
    <cellStyle name="Lien hypertexte visité" xfId="581" builtinId="9" hidden="1"/>
    <cellStyle name="Lien hypertexte visité" xfId="583" builtinId="9" hidden="1"/>
    <cellStyle name="Lien hypertexte visité" xfId="585" builtinId="9" hidden="1"/>
    <cellStyle name="Lien hypertexte visité" xfId="587" builtinId="9" hidden="1"/>
    <cellStyle name="Lien hypertexte visité" xfId="589" builtinId="9" hidden="1"/>
    <cellStyle name="Lien hypertexte visité" xfId="591" builtinId="9" hidden="1"/>
    <cellStyle name="Lien hypertexte visité" xfId="593" builtinId="9" hidden="1"/>
    <cellStyle name="Lien hypertexte visité" xfId="595" builtinId="9" hidden="1"/>
    <cellStyle name="Lien hypertexte visité" xfId="597" builtinId="9" hidden="1"/>
    <cellStyle name="Lien hypertexte visité" xfId="599" builtinId="9" hidden="1"/>
    <cellStyle name="Lien hypertexte visité" xfId="601" builtinId="9" hidden="1"/>
    <cellStyle name="Lien hypertexte visité" xfId="603" builtinId="9" hidden="1"/>
    <cellStyle name="Lien hypertexte visité" xfId="605" builtinId="9" hidden="1"/>
    <cellStyle name="Lien hypertexte visité" xfId="607" builtinId="9" hidden="1"/>
    <cellStyle name="Lien hypertexte visité" xfId="609" builtinId="9" hidden="1"/>
    <cellStyle name="Lien hypertexte visité" xfId="611" builtinId="9" hidden="1"/>
    <cellStyle name="Lien hypertexte visité" xfId="613" builtinId="9" hidden="1"/>
    <cellStyle name="Lien hypertexte visité" xfId="615" builtinId="9" hidden="1"/>
    <cellStyle name="Lien hypertexte visité" xfId="617" builtinId="9" hidden="1"/>
    <cellStyle name="Lien hypertexte visité" xfId="619" builtinId="9" hidden="1"/>
    <cellStyle name="Lien hypertexte visité" xfId="621" builtinId="9" hidden="1"/>
    <cellStyle name="Lien hypertexte visité" xfId="623" builtinId="9" hidden="1"/>
    <cellStyle name="Lien hypertexte visité" xfId="625" builtinId="9" hidden="1"/>
    <cellStyle name="Lien hypertexte visité" xfId="627" builtinId="9" hidden="1"/>
    <cellStyle name="Lien hypertexte visité" xfId="629" builtinId="9" hidden="1"/>
    <cellStyle name="Lien hypertexte visité" xfId="631" builtinId="9" hidden="1"/>
    <cellStyle name="Lien hypertexte visité" xfId="633" builtinId="9" hidden="1"/>
    <cellStyle name="Lien hypertexte visité" xfId="635" builtinId="9" hidden="1"/>
    <cellStyle name="Lien hypertexte visité" xfId="637" builtinId="9" hidden="1"/>
    <cellStyle name="Lien hypertexte visité" xfId="639" builtinId="9" hidden="1"/>
    <cellStyle name="Lien hypertexte visité" xfId="641" builtinId="9" hidden="1"/>
    <cellStyle name="Lien hypertexte visité" xfId="643" builtinId="9" hidden="1"/>
    <cellStyle name="Lien hypertexte visité" xfId="645" builtinId="9" hidden="1"/>
    <cellStyle name="Lien hypertexte visité" xfId="647" builtinId="9" hidden="1"/>
    <cellStyle name="Lien hypertexte visité" xfId="649" builtinId="9" hidden="1"/>
    <cellStyle name="Lien hypertexte visité" xfId="651" builtinId="9" hidden="1"/>
    <cellStyle name="Lien hypertexte visité" xfId="653" builtinId="9" hidden="1"/>
    <cellStyle name="Lien hypertexte visité" xfId="655" builtinId="9" hidden="1"/>
    <cellStyle name="Lien hypertexte visité" xfId="657" builtinId="9" hidden="1"/>
    <cellStyle name="Lien hypertexte visité" xfId="659" builtinId="9" hidden="1"/>
    <cellStyle name="Lien hypertexte visité" xfId="661" builtinId="9" hidden="1"/>
    <cellStyle name="Lien hypertexte visité" xfId="663" builtinId="9" hidden="1"/>
    <cellStyle name="Lien hypertexte visité" xfId="665" builtinId="9" hidden="1"/>
    <cellStyle name="Lien hypertexte visité" xfId="667" builtinId="9" hidden="1"/>
    <cellStyle name="Lien hypertexte visité" xfId="669" builtinId="9" hidden="1"/>
    <cellStyle name="Lien hypertexte visité" xfId="671" builtinId="9" hidden="1"/>
    <cellStyle name="Lien hypertexte visité" xfId="673" builtinId="9" hidden="1"/>
    <cellStyle name="Lien hypertexte visité" xfId="675" builtinId="9" hidden="1"/>
    <cellStyle name="Lien hypertexte visité" xfId="677" builtinId="9" hidden="1"/>
    <cellStyle name="Lien hypertexte visité" xfId="679" builtinId="9" hidden="1"/>
    <cellStyle name="Lien hypertexte visité" xfId="681" builtinId="9" hidden="1"/>
    <cellStyle name="Lien hypertexte visité" xfId="683" builtinId="9" hidden="1"/>
    <cellStyle name="Lien hypertexte visité" xfId="686" builtinId="9" hidden="1"/>
    <cellStyle name="Lien hypertexte visité" xfId="688" builtinId="9" hidden="1"/>
    <cellStyle name="Lien hypertexte visité" xfId="690" builtinId="9" hidden="1"/>
    <cellStyle name="Lien hypertexte visité" xfId="692" builtinId="9" hidden="1"/>
    <cellStyle name="Lien hypertexte visité" xfId="694" builtinId="9" hidden="1"/>
    <cellStyle name="Lien hypertexte visité" xfId="696" builtinId="9" hidden="1"/>
    <cellStyle name="Lien hypertexte visité" xfId="698" builtinId="9" hidden="1"/>
    <cellStyle name="Lien hypertexte visité" xfId="700" builtinId="9" hidden="1"/>
    <cellStyle name="Lien hypertexte visité" xfId="702" builtinId="9" hidden="1"/>
    <cellStyle name="Lien hypertexte visité" xfId="704" builtinId="9" hidden="1"/>
    <cellStyle name="Lien hypertexte visité" xfId="706" builtinId="9" hidden="1"/>
    <cellStyle name="Lien hypertexte visité" xfId="708" builtinId="9" hidden="1"/>
    <cellStyle name="Lien hypertexte visité" xfId="710" builtinId="9" hidden="1"/>
    <cellStyle name="Lien hypertexte visité" xfId="712" builtinId="9" hidden="1"/>
    <cellStyle name="Lien hypertexte visité" xfId="714" builtinId="9" hidden="1"/>
    <cellStyle name="Lien hypertexte visité" xfId="716" builtinId="9" hidden="1"/>
    <cellStyle name="Lien hypertexte visité" xfId="718" builtinId="9" hidden="1"/>
    <cellStyle name="Lien hypertexte visité" xfId="720" builtinId="9" hidden="1"/>
    <cellStyle name="Lien hypertexte visité" xfId="722" builtinId="9" hidden="1"/>
    <cellStyle name="Lien hypertexte visité" xfId="724" builtinId="9" hidden="1"/>
    <cellStyle name="Lien hypertexte visité" xfId="726" builtinId="9" hidden="1"/>
    <cellStyle name="Lien hypertexte visité" xfId="728" builtinId="9" hidden="1"/>
    <cellStyle name="Lien hypertexte visité" xfId="730" builtinId="9" hidden="1"/>
    <cellStyle name="Lien hypertexte visité" xfId="732" builtinId="9" hidden="1"/>
    <cellStyle name="Lien hypertexte visité" xfId="734" builtinId="9" hidden="1"/>
    <cellStyle name="Lien hypertexte visité" xfId="736" builtinId="9" hidden="1"/>
    <cellStyle name="Lien hypertexte visité" xfId="738" builtinId="9" hidden="1"/>
    <cellStyle name="Lien hypertexte visité" xfId="740" builtinId="9" hidden="1"/>
    <cellStyle name="Lien hypertexte visité" xfId="742" builtinId="9" hidden="1"/>
    <cellStyle name="Lien hypertexte visité" xfId="744" builtinId="9" hidden="1"/>
    <cellStyle name="Lien hypertexte visité" xfId="746" builtinId="9" hidden="1"/>
    <cellStyle name="Lien hypertexte visité" xfId="748" builtinId="9" hidden="1"/>
    <cellStyle name="Lien hypertexte visité" xfId="750" builtinId="9" hidden="1"/>
    <cellStyle name="Lien hypertexte visité" xfId="752" builtinId="9" hidden="1"/>
    <cellStyle name="Lien hypertexte visité" xfId="754" builtinId="9" hidden="1"/>
    <cellStyle name="Lien hypertexte visité" xfId="756" builtinId="9" hidden="1"/>
    <cellStyle name="Lien hypertexte visité" xfId="758" builtinId="9" hidden="1"/>
    <cellStyle name="Lien hypertexte visité" xfId="760" builtinId="9" hidden="1"/>
    <cellStyle name="Lien hypertexte visité" xfId="762" builtinId="9" hidden="1"/>
    <cellStyle name="Lien hypertexte visité" xfId="764" builtinId="9" hidden="1"/>
    <cellStyle name="Lien hypertexte visité" xfId="766" builtinId="9" hidden="1"/>
    <cellStyle name="Lien hypertexte visité" xfId="768" builtinId="9" hidden="1"/>
    <cellStyle name="Lien hypertexte visité" xfId="770" builtinId="9" hidden="1"/>
    <cellStyle name="Lien hypertexte visité" xfId="772" builtinId="9" hidden="1"/>
    <cellStyle name="Lien hypertexte visité" xfId="774" builtinId="9" hidden="1"/>
    <cellStyle name="Lien hypertexte visité" xfId="776" builtinId="9" hidden="1"/>
    <cellStyle name="Lien hypertexte visité" xfId="778" builtinId="9" hidden="1"/>
    <cellStyle name="Lien hypertexte visité" xfId="780" builtinId="9" hidden="1"/>
    <cellStyle name="Lien hypertexte visité" xfId="782" builtinId="9" hidden="1"/>
    <cellStyle name="Lien hypertexte visité" xfId="784" builtinId="9" hidden="1"/>
    <cellStyle name="Lien hypertexte visité" xfId="786" builtinId="9" hidden="1"/>
    <cellStyle name="Lien hypertexte visité" xfId="788" builtinId="9" hidden="1"/>
    <cellStyle name="Lien hypertexte visité" xfId="790" builtinId="9" hidden="1"/>
    <cellStyle name="Lien hypertexte visité" xfId="792" builtinId="9" hidden="1"/>
    <cellStyle name="Lien hypertexte visité" xfId="794" builtinId="9" hidden="1"/>
    <cellStyle name="Lien hypertexte visité" xfId="796" builtinId="9" hidden="1"/>
    <cellStyle name="Lien hypertexte visité" xfId="798" builtinId="9" hidden="1"/>
    <cellStyle name="Lien hypertexte visité" xfId="800" builtinId="9" hidden="1"/>
    <cellStyle name="Lien hypertexte visité" xfId="802" builtinId="9" hidden="1"/>
    <cellStyle name="Lien hypertexte visité" xfId="804" builtinId="9" hidden="1"/>
    <cellStyle name="Lien hypertexte visité" xfId="806" builtinId="9" hidden="1"/>
    <cellStyle name="Lien hypertexte visité" xfId="808" builtinId="9" hidden="1"/>
    <cellStyle name="Lien hypertexte visité" xfId="810" builtinId="9" hidden="1"/>
    <cellStyle name="Lien hypertexte visité" xfId="812" builtinId="9" hidden="1"/>
    <cellStyle name="Lien hypertexte visité" xfId="814" builtinId="9" hidden="1"/>
    <cellStyle name="Lien hypertexte visité" xfId="816" builtinId="9" hidden="1"/>
    <cellStyle name="Lien hypertexte visité" xfId="818" builtinId="9" hidden="1"/>
    <cellStyle name="Lien hypertexte visité" xfId="820" builtinId="9" hidden="1"/>
    <cellStyle name="Lien hypertexte visité" xfId="822" builtinId="9" hidden="1"/>
    <cellStyle name="Lien hypertexte visité" xfId="824" builtinId="9" hidden="1"/>
    <cellStyle name="Lien hypertexte visité" xfId="826" builtinId="9" hidden="1"/>
    <cellStyle name="Lien hypertexte visité" xfId="828" builtinId="9" hidden="1"/>
    <cellStyle name="Lien hypertexte visité" xfId="830" builtinId="9" hidden="1"/>
    <cellStyle name="Lien hypertexte visité" xfId="832" builtinId="9" hidden="1"/>
    <cellStyle name="Lien hypertexte visité" xfId="834" builtinId="9" hidden="1"/>
    <cellStyle name="Lien hypertexte visité" xfId="836" builtinId="9" hidden="1"/>
    <cellStyle name="Lien hypertexte visité" xfId="838" builtinId="9" hidden="1"/>
    <cellStyle name="Lien hypertexte visité" xfId="840" builtinId="9" hidden="1"/>
    <cellStyle name="Lien hypertexte visité" xfId="842" builtinId="9" hidden="1"/>
    <cellStyle name="Lien hypertexte visité" xfId="844" builtinId="9" hidden="1"/>
    <cellStyle name="Lien hypertexte visité" xfId="846" builtinId="9" hidden="1"/>
    <cellStyle name="Lien hypertexte visité" xfId="848" builtinId="9" hidden="1"/>
    <cellStyle name="Lien hypertexte visité" xfId="850" builtinId="9" hidden="1"/>
    <cellStyle name="Lien hypertexte visité" xfId="852" builtinId="9" hidden="1"/>
    <cellStyle name="Lien hypertexte visité" xfId="854" builtinId="9" hidden="1"/>
    <cellStyle name="Lien hypertexte visité" xfId="856" builtinId="9" hidden="1"/>
    <cellStyle name="Lien hypertexte visité" xfId="858" builtinId="9" hidden="1"/>
    <cellStyle name="Lien hypertexte visité" xfId="860" builtinId="9" hidden="1"/>
    <cellStyle name="Lien hypertexte visité" xfId="862" builtinId="9" hidden="1"/>
    <cellStyle name="Lien hypertexte visité" xfId="864" builtinId="9" hidden="1"/>
    <cellStyle name="Lien hypertexte visité" xfId="866" builtinId="9" hidden="1"/>
    <cellStyle name="Lien hypertexte visité" xfId="868" builtinId="9" hidden="1"/>
    <cellStyle name="Lien hypertexte visité" xfId="870" builtinId="9" hidden="1"/>
    <cellStyle name="Lien hypertexte visité" xfId="872" builtinId="9" hidden="1"/>
    <cellStyle name="Lien hypertexte visité" xfId="874" builtinId="9" hidden="1"/>
    <cellStyle name="Lien hypertexte visité" xfId="876" builtinId="9" hidden="1"/>
    <cellStyle name="Lien hypertexte visité" xfId="878" builtinId="9" hidden="1"/>
    <cellStyle name="Lien hypertexte visité" xfId="880" builtinId="9" hidden="1"/>
    <cellStyle name="Lien hypertexte visité" xfId="882" builtinId="9" hidden="1"/>
    <cellStyle name="Lien hypertexte visité" xfId="884" builtinId="9" hidden="1"/>
    <cellStyle name="Lien hypertexte visité" xfId="886" builtinId="9" hidden="1"/>
    <cellStyle name="Lien hypertexte visité" xfId="888" builtinId="9" hidden="1"/>
    <cellStyle name="Lien hypertexte visité" xfId="890" builtinId="9" hidden="1"/>
    <cellStyle name="Lien hypertexte visité" xfId="892" builtinId="9" hidden="1"/>
    <cellStyle name="Lien hypertexte visité" xfId="894" builtinId="9" hidden="1"/>
    <cellStyle name="Lien hypertexte visité" xfId="896" builtinId="9" hidden="1"/>
    <cellStyle name="Lien hypertexte visité" xfId="898" builtinId="9" hidden="1"/>
    <cellStyle name="Lien hypertexte visité" xfId="900" builtinId="9" hidden="1"/>
    <cellStyle name="Lien hypertexte visité" xfId="902" builtinId="9" hidden="1"/>
    <cellStyle name="Lien hypertexte visité" xfId="904" builtinId="9" hidden="1"/>
    <cellStyle name="Lien hypertexte visité" xfId="906" builtinId="9" hidden="1"/>
    <cellStyle name="Lien hypertexte visité" xfId="908" builtinId="9" hidden="1"/>
    <cellStyle name="Lien hypertexte visité" xfId="910" builtinId="9" hidden="1"/>
    <cellStyle name="Lien hypertexte visité" xfId="912" builtinId="9" hidden="1"/>
    <cellStyle name="Lien hypertexte visité" xfId="914" builtinId="9" hidden="1"/>
    <cellStyle name="Lien hypertexte visité" xfId="916" builtinId="9" hidden="1"/>
    <cellStyle name="Lien hypertexte visité" xfId="918" builtinId="9" hidden="1"/>
    <cellStyle name="Lien hypertexte visité" xfId="920" builtinId="9" hidden="1"/>
    <cellStyle name="Lien hypertexte visité" xfId="922" builtinId="9" hidden="1"/>
    <cellStyle name="Lien hypertexte visité" xfId="924" builtinId="9" hidden="1"/>
    <cellStyle name="Lien hypertexte visité" xfId="926" builtinId="9" hidden="1"/>
    <cellStyle name="Lien hypertexte visité" xfId="928" builtinId="9" hidden="1"/>
    <cellStyle name="Lien hypertexte visité" xfId="930" builtinId="9" hidden="1"/>
    <cellStyle name="Lien hypertexte visité" xfId="932" builtinId="9" hidden="1"/>
    <cellStyle name="Lien hypertexte visité" xfId="934" builtinId="9" hidden="1"/>
    <cellStyle name="Lien hypertexte visité" xfId="936" builtinId="9" hidden="1"/>
    <cellStyle name="Lien hypertexte visité" xfId="938" builtinId="9" hidden="1"/>
    <cellStyle name="Lien hypertexte visité" xfId="940" builtinId="9" hidden="1"/>
    <cellStyle name="Lien hypertexte visité" xfId="942" builtinId="9" hidden="1"/>
    <cellStyle name="Lien hypertexte visité" xfId="944" builtinId="9" hidden="1"/>
    <cellStyle name="Lien hypertexte visité" xfId="946" builtinId="9" hidden="1"/>
    <cellStyle name="Lien hypertexte visité" xfId="948" builtinId="9" hidden="1"/>
    <cellStyle name="Lien hypertexte visité" xfId="950" builtinId="9" hidden="1"/>
    <cellStyle name="Lien hypertexte visité" xfId="952" builtinId="9" hidden="1"/>
    <cellStyle name="Lien hypertexte visité" xfId="954" builtinId="9" hidden="1"/>
    <cellStyle name="Lien hypertexte visité" xfId="956" builtinId="9" hidden="1"/>
    <cellStyle name="Lien hypertexte visité" xfId="958" builtinId="9" hidden="1"/>
    <cellStyle name="Lien hypertexte visité" xfId="960" builtinId="9" hidden="1"/>
    <cellStyle name="Lien hypertexte visité" xfId="962" builtinId="9" hidden="1"/>
    <cellStyle name="Lien hypertexte visité" xfId="964" builtinId="9" hidden="1"/>
    <cellStyle name="Lien hypertexte visité" xfId="966" builtinId="9" hidden="1"/>
    <cellStyle name="Lien hypertexte visité" xfId="968" builtinId="9" hidden="1"/>
    <cellStyle name="Lien hypertexte visité" xfId="970" builtinId="9" hidden="1"/>
    <cellStyle name="Lien hypertexte visité" xfId="972" builtinId="9" hidden="1"/>
    <cellStyle name="Lien hypertexte visité" xfId="974" builtinId="9" hidden="1"/>
    <cellStyle name="Lien hypertexte visité" xfId="976" builtinId="9" hidden="1"/>
    <cellStyle name="Lien hypertexte visité" xfId="978" builtinId="9" hidden="1"/>
    <cellStyle name="Lien hypertexte visité" xfId="980" builtinId="9" hidden="1"/>
    <cellStyle name="Lien hypertexte visité" xfId="982" builtinId="9" hidden="1"/>
    <cellStyle name="Lien hypertexte visité" xfId="984" builtinId="9" hidden="1"/>
    <cellStyle name="Lien hypertexte visité" xfId="986" builtinId="9" hidden="1"/>
    <cellStyle name="Lien hypertexte visité" xfId="988" builtinId="9" hidden="1"/>
    <cellStyle name="Lien hypertexte visité" xfId="990" builtinId="9" hidden="1"/>
    <cellStyle name="Lien hypertexte visité" xfId="992" builtinId="9" hidden="1"/>
    <cellStyle name="Lien hypertexte visité" xfId="994" builtinId="9" hidden="1"/>
    <cellStyle name="Lien hypertexte visité" xfId="996" builtinId="9" hidden="1"/>
    <cellStyle name="Lien hypertexte visité" xfId="998" builtinId="9" hidden="1"/>
    <cellStyle name="Lien hypertexte visité" xfId="1000" builtinId="9" hidden="1"/>
    <cellStyle name="Lien hypertexte visité" xfId="1002" builtinId="9" hidden="1"/>
    <cellStyle name="Lien hypertexte visité" xfId="1004" builtinId="9" hidden="1"/>
    <cellStyle name="Lien hypertexte visité" xfId="1006" builtinId="9" hidden="1"/>
    <cellStyle name="Lien hypertexte visité" xfId="1008" builtinId="9" hidden="1"/>
    <cellStyle name="Lien hypertexte visité" xfId="1010" builtinId="9" hidden="1"/>
    <cellStyle name="Lien hypertexte visité" xfId="1012" builtinId="9" hidden="1"/>
    <cellStyle name="Lien hypertexte visité" xfId="1014" builtinId="9" hidden="1"/>
    <cellStyle name="Lien hypertexte visité" xfId="1016" builtinId="9" hidden="1"/>
    <cellStyle name="Lien hypertexte visité" xfId="1018" builtinId="9" hidden="1"/>
    <cellStyle name="Lien hypertexte visité" xfId="1020" builtinId="9" hidden="1"/>
    <cellStyle name="Lien hypertexte visité" xfId="1022" builtinId="9" hidden="1"/>
    <cellStyle name="Lien hypertexte visité" xfId="1024" builtinId="9" hidden="1"/>
    <cellStyle name="Lien hypertexte visité" xfId="1026" builtinId="9" hidden="1"/>
    <cellStyle name="Lien hypertexte visité" xfId="1028" builtinId="9" hidden="1"/>
    <cellStyle name="Lien hypertexte visité" xfId="1030" builtinId="9" hidden="1"/>
    <cellStyle name="Lien hypertexte visité" xfId="1032" builtinId="9" hidden="1"/>
    <cellStyle name="Lien hypertexte visité" xfId="1034" builtinId="9" hidden="1"/>
    <cellStyle name="Lien hypertexte visité" xfId="1036" builtinId="9" hidden="1"/>
    <cellStyle name="Lien hypertexte visité" xfId="1038" builtinId="9" hidden="1"/>
    <cellStyle name="Lien hypertexte visité" xfId="1040" builtinId="9" hidden="1"/>
    <cellStyle name="Lien hypertexte visité" xfId="1042" builtinId="9" hidden="1"/>
    <cellStyle name="Lien hypertexte visité" xfId="1044" builtinId="9" hidden="1"/>
    <cellStyle name="Lien hypertexte visité" xfId="1046" builtinId="9" hidden="1"/>
    <cellStyle name="Lien hypertexte visité" xfId="1048" builtinId="9" hidden="1"/>
    <cellStyle name="Lien hypertexte visité" xfId="1050" builtinId="9" hidden="1"/>
    <cellStyle name="Lien hypertexte visité" xfId="1052" builtinId="9" hidden="1"/>
    <cellStyle name="Lien hypertexte visité" xfId="1054" builtinId="9" hidden="1"/>
    <cellStyle name="Lien hypertexte visité" xfId="1056" builtinId="9" hidden="1"/>
    <cellStyle name="Lien hypertexte visité" xfId="1058" builtinId="9" hidden="1"/>
    <cellStyle name="Lien hypertexte visité" xfId="1060" builtinId="9" hidden="1"/>
    <cellStyle name="Lien hypertexte visité" xfId="1062" builtinId="9" hidden="1"/>
    <cellStyle name="Lien hypertexte visité" xfId="1064" builtinId="9" hidden="1"/>
    <cellStyle name="Lien hypertexte visité" xfId="1066" builtinId="9" hidden="1"/>
    <cellStyle name="Lien hypertexte visité" xfId="1068" builtinId="9" hidden="1"/>
    <cellStyle name="Lien hypertexte visité" xfId="1070" builtinId="9" hidden="1"/>
    <cellStyle name="Lien hypertexte visité" xfId="1072" builtinId="9" hidden="1"/>
    <cellStyle name="Lien hypertexte visité" xfId="1074" builtinId="9" hidden="1"/>
    <cellStyle name="Lien hypertexte visité" xfId="1076" builtinId="9" hidden="1"/>
    <cellStyle name="Lien hypertexte visité" xfId="1078" builtinId="9" hidden="1"/>
    <cellStyle name="Lien hypertexte visité" xfId="1080" builtinId="9" hidden="1"/>
    <cellStyle name="Lien hypertexte visité" xfId="1082" builtinId="9" hidden="1"/>
    <cellStyle name="Lien hypertexte visité" xfId="1084" builtinId="9" hidden="1"/>
    <cellStyle name="Lien hypertexte visité" xfId="1086" builtinId="9" hidden="1"/>
    <cellStyle name="Lien hypertexte visité" xfId="1088" builtinId="9" hidden="1"/>
    <cellStyle name="Lien hypertexte visité" xfId="1090" builtinId="9" hidden="1"/>
    <cellStyle name="Lien hypertexte visité" xfId="1092" builtinId="9" hidden="1"/>
    <cellStyle name="Lien hypertexte visité" xfId="1094" builtinId="9" hidden="1"/>
    <cellStyle name="Lien hypertexte visité" xfId="1096" builtinId="9" hidden="1"/>
    <cellStyle name="Lien hypertexte visité" xfId="1098" builtinId="9" hidden="1"/>
    <cellStyle name="Lien hypertexte visité" xfId="1100" builtinId="9" hidden="1"/>
    <cellStyle name="Lien hypertexte visité" xfId="1102" builtinId="9" hidden="1"/>
    <cellStyle name="Lien hypertexte visité" xfId="1104" builtinId="9" hidden="1"/>
    <cellStyle name="Lien hypertexte visité" xfId="1106" builtinId="9" hidden="1"/>
    <cellStyle name="Lien hypertexte visité" xfId="1108" builtinId="9" hidden="1"/>
    <cellStyle name="Lien hypertexte visité" xfId="1110" builtinId="9" hidden="1"/>
    <cellStyle name="Lien hypertexte visité" xfId="1112" builtinId="9" hidden="1"/>
    <cellStyle name="Lien hypertexte visité" xfId="1114" builtinId="9" hidden="1"/>
    <cellStyle name="Lien hypertexte visité" xfId="1116" builtinId="9" hidden="1"/>
    <cellStyle name="Lien hypertexte visité" xfId="1118" builtinId="9" hidden="1"/>
    <cellStyle name="Lien hypertexte visité" xfId="1120" builtinId="9" hidden="1"/>
    <cellStyle name="Lien hypertexte visité" xfId="1122" builtinId="9" hidden="1"/>
    <cellStyle name="Lien hypertexte visité" xfId="1124" builtinId="9" hidden="1"/>
    <cellStyle name="Lien hypertexte visité" xfId="1126" builtinId="9" hidden="1"/>
    <cellStyle name="Lien hypertexte visité" xfId="1128" builtinId="9" hidden="1"/>
    <cellStyle name="Lien hypertexte visité" xfId="1130" builtinId="9" hidden="1"/>
    <cellStyle name="Lien hypertexte visité" xfId="1132" builtinId="9" hidden="1"/>
    <cellStyle name="Lien hypertexte visité" xfId="1134" builtinId="9" hidden="1"/>
    <cellStyle name="Lien hypertexte visité" xfId="1136" builtinId="9" hidden="1"/>
    <cellStyle name="Lien hypertexte visité" xfId="1138" builtinId="9" hidden="1"/>
    <cellStyle name="Lien hypertexte visité" xfId="1140" builtinId="9" hidden="1"/>
    <cellStyle name="Lien hypertexte visité" xfId="1142" builtinId="9" hidden="1"/>
    <cellStyle name="Lien hypertexte visité" xfId="1144" builtinId="9" hidden="1"/>
    <cellStyle name="Lien hypertexte visité" xfId="1146" builtinId="9" hidden="1"/>
    <cellStyle name="Lien hypertexte visité" xfId="1148" builtinId="9" hidden="1"/>
    <cellStyle name="Lien hypertexte visité" xfId="1150" builtinId="9" hidden="1"/>
    <cellStyle name="Lien hypertexte visité" xfId="1152" builtinId="9" hidden="1"/>
    <cellStyle name="Lien hypertexte visité" xfId="1154" builtinId="9" hidden="1"/>
    <cellStyle name="Lien hypertexte visité" xfId="1156" builtinId="9" hidden="1"/>
    <cellStyle name="Lien hypertexte visité" xfId="1158" builtinId="9" hidden="1"/>
    <cellStyle name="Lien hypertexte visité" xfId="1160" builtinId="9" hidden="1"/>
    <cellStyle name="Lien hypertexte visité" xfId="1162" builtinId="9" hidden="1"/>
    <cellStyle name="Lien hypertexte visité" xfId="1164" builtinId="9" hidden="1"/>
    <cellStyle name="Lien hypertexte visité" xfId="1166" builtinId="9" hidden="1"/>
    <cellStyle name="Lien hypertexte visité" xfId="1168" builtinId="9" hidden="1"/>
    <cellStyle name="Lien hypertexte visité" xfId="1170" builtinId="9" hidden="1"/>
    <cellStyle name="Lien hypertexte visité" xfId="1172" builtinId="9" hidden="1"/>
    <cellStyle name="Lien hypertexte visité" xfId="1174" builtinId="9" hidden="1"/>
    <cellStyle name="Lien hypertexte visité" xfId="1176" builtinId="9" hidden="1"/>
    <cellStyle name="Lien hypertexte visité" xfId="1178" builtinId="9" hidden="1"/>
    <cellStyle name="Lien hypertexte visité" xfId="1180" builtinId="9" hidden="1"/>
    <cellStyle name="Lien hypertexte visité" xfId="1182" builtinId="9" hidden="1"/>
    <cellStyle name="Lien hypertexte visité" xfId="1184" builtinId="9" hidden="1"/>
    <cellStyle name="Lien hypertexte visité" xfId="1186" builtinId="9" hidden="1"/>
    <cellStyle name="Lien hypertexte visité" xfId="1188" builtinId="9" hidden="1"/>
    <cellStyle name="Lien hypertexte visité" xfId="1190" builtinId="9" hidden="1"/>
    <cellStyle name="Lien hypertexte visité" xfId="1192" builtinId="9" hidden="1"/>
    <cellStyle name="Lien hypertexte visité" xfId="1194" builtinId="9" hidden="1"/>
    <cellStyle name="Lien hypertexte visité" xfId="1196" builtinId="9" hidden="1"/>
    <cellStyle name="Lien hypertexte visité" xfId="1198" builtinId="9" hidden="1"/>
    <cellStyle name="Lien hypertexte visité" xfId="1200" builtinId="9" hidden="1"/>
    <cellStyle name="Lien hypertexte visité" xfId="1202" builtinId="9" hidden="1"/>
    <cellStyle name="Lien hypertexte visité" xfId="1204" builtinId="9" hidden="1"/>
    <cellStyle name="Lien hypertexte visité" xfId="1206" builtinId="9" hidden="1"/>
    <cellStyle name="Lien hypertexte visité" xfId="1208" builtinId="9" hidden="1"/>
    <cellStyle name="Lien hypertexte visité" xfId="1210" builtinId="9" hidden="1"/>
    <cellStyle name="Lien hypertexte visité" xfId="1212" builtinId="9" hidden="1"/>
    <cellStyle name="Lien hypertexte visité" xfId="1214" builtinId="9" hidden="1"/>
    <cellStyle name="Lien hypertexte visité" xfId="1216" builtinId="9" hidden="1"/>
    <cellStyle name="Lien hypertexte visité" xfId="1218" builtinId="9" hidden="1"/>
    <cellStyle name="Lien hypertexte visité" xfId="1220" builtinId="9" hidden="1"/>
    <cellStyle name="Lien hypertexte visité" xfId="1222" builtinId="9" hidden="1"/>
    <cellStyle name="Lien hypertexte visité" xfId="1224" builtinId="9" hidden="1"/>
    <cellStyle name="Lien hypertexte visité" xfId="1226" builtinId="9" hidden="1"/>
    <cellStyle name="Lien hypertexte visité" xfId="1228" builtinId="9" hidden="1"/>
    <cellStyle name="Lien hypertexte visité" xfId="1230" builtinId="9" hidden="1"/>
    <cellStyle name="Lien hypertexte visité" xfId="1232" builtinId="9" hidden="1"/>
    <cellStyle name="Lien hypertexte visité" xfId="1234" builtinId="9" hidden="1"/>
    <cellStyle name="Lien hypertexte visité" xfId="1236" builtinId="9" hidden="1"/>
    <cellStyle name="Lien hypertexte visité" xfId="1238" builtinId="9" hidden="1"/>
    <cellStyle name="Lien hypertexte visité" xfId="1240" builtinId="9" hidden="1"/>
    <cellStyle name="Lien hypertexte visité" xfId="1242" builtinId="9" hidden="1"/>
    <cellStyle name="Lien hypertexte visité" xfId="1244" builtinId="9" hidden="1"/>
    <cellStyle name="Lien hypertexte visité" xfId="1246" builtinId="9" hidden="1"/>
    <cellStyle name="Lien hypertexte visité" xfId="1248" builtinId="9" hidden="1"/>
    <cellStyle name="Lien hypertexte visité" xfId="1250" builtinId="9" hidden="1"/>
    <cellStyle name="Lien hypertexte visité" xfId="1252" builtinId="9" hidden="1"/>
    <cellStyle name="Lien hypertexte visité" xfId="1254" builtinId="9" hidden="1"/>
    <cellStyle name="Lien hypertexte visité" xfId="1256" builtinId="9" hidden="1"/>
    <cellStyle name="Lien hypertexte visité" xfId="1258" builtinId="9" hidden="1"/>
    <cellStyle name="Lien hypertexte visité" xfId="1260" builtinId="9" hidden="1"/>
    <cellStyle name="Lien hypertexte visité" xfId="1262" builtinId="9" hidden="1"/>
    <cellStyle name="Lien hypertexte visité" xfId="1264" builtinId="9" hidden="1"/>
    <cellStyle name="Lien hypertexte visité" xfId="1266" builtinId="9" hidden="1"/>
    <cellStyle name="Lien hypertexte visité" xfId="1268" builtinId="9" hidden="1"/>
    <cellStyle name="Lien hypertexte visité" xfId="1270" builtinId="9" hidden="1"/>
    <cellStyle name="Lien hypertexte visité" xfId="1272" builtinId="9" hidden="1"/>
    <cellStyle name="Lien hypertexte visité" xfId="1274" builtinId="9" hidden="1"/>
    <cellStyle name="Lien hypertexte visité" xfId="1276" builtinId="9" hidden="1"/>
    <cellStyle name="Lien hypertexte visité" xfId="1278" builtinId="9" hidden="1"/>
    <cellStyle name="Lien hypertexte visité" xfId="1280" builtinId="9" hidden="1"/>
    <cellStyle name="Lien hypertexte visité" xfId="1282" builtinId="9" hidden="1"/>
    <cellStyle name="Lien hypertexte visité" xfId="1284" builtinId="9" hidden="1"/>
    <cellStyle name="Lien hypertexte visité" xfId="1286" builtinId="9" hidden="1"/>
    <cellStyle name="Lien hypertexte visité" xfId="1288" builtinId="9" hidden="1"/>
    <cellStyle name="Lien hypertexte visité" xfId="1290" builtinId="9" hidden="1"/>
    <cellStyle name="Lien hypertexte visité" xfId="1292" builtinId="9" hidden="1"/>
    <cellStyle name="Lien hypertexte visité" xfId="1294" builtinId="9" hidden="1"/>
    <cellStyle name="Lien hypertexte visité" xfId="1296" builtinId="9" hidden="1"/>
    <cellStyle name="Lien hypertexte visité" xfId="1298" builtinId="9" hidden="1"/>
    <cellStyle name="Lien hypertexte visité" xfId="1300" builtinId="9" hidden="1"/>
    <cellStyle name="Lien hypertexte visité" xfId="1302" builtinId="9" hidden="1"/>
    <cellStyle name="Lien hypertexte visité" xfId="1304" builtinId="9" hidden="1"/>
    <cellStyle name="Lien hypertexte visité" xfId="1306" builtinId="9" hidden="1"/>
    <cellStyle name="Lien hypertexte visité" xfId="1308" builtinId="9" hidden="1"/>
    <cellStyle name="Lien hypertexte visité" xfId="1310" builtinId="9" hidden="1"/>
    <cellStyle name="Lien hypertexte visité" xfId="1312" builtinId="9" hidden="1"/>
    <cellStyle name="Lien hypertexte visité" xfId="1314" builtinId="9" hidden="1"/>
    <cellStyle name="Lien hypertexte visité" xfId="1316" builtinId="9" hidden="1"/>
    <cellStyle name="Lien hypertexte visité" xfId="1318" builtinId="9" hidden="1"/>
    <cellStyle name="Lien hypertexte visité" xfId="1320" builtinId="9" hidden="1"/>
    <cellStyle name="Lien hypertexte visité" xfId="1322" builtinId="9" hidden="1"/>
    <cellStyle name="Lien hypertexte visité" xfId="1324" builtinId="9" hidden="1"/>
    <cellStyle name="Lien hypertexte visité" xfId="1326" builtinId="9" hidden="1"/>
    <cellStyle name="Lien hypertexte visité" xfId="1328" builtinId="9" hidden="1"/>
    <cellStyle name="Lien hypertexte visité" xfId="1330" builtinId="9" hidden="1"/>
    <cellStyle name="Lien hypertexte visité" xfId="1332" builtinId="9" hidden="1"/>
    <cellStyle name="Lien hypertexte visité" xfId="1334" builtinId="9" hidden="1"/>
    <cellStyle name="Lien hypertexte visité" xfId="1336" builtinId="9" hidden="1"/>
    <cellStyle name="Lien hypertexte visité" xfId="1338" builtinId="9" hidden="1"/>
    <cellStyle name="Lien hypertexte visité" xfId="1340" builtinId="9" hidden="1"/>
    <cellStyle name="Lien hypertexte visité" xfId="1342" builtinId="9" hidden="1"/>
    <cellStyle name="Lien hypertexte visité" xfId="1344" builtinId="9" hidden="1"/>
    <cellStyle name="Lien hypertexte visité" xfId="1346" builtinId="9" hidden="1"/>
    <cellStyle name="Lien hypertexte visité" xfId="1348" builtinId="9" hidden="1"/>
    <cellStyle name="Lien hypertexte visité" xfId="1350" builtinId="9" hidden="1"/>
    <cellStyle name="Lien hypertexte visité" xfId="1352" builtinId="9" hidden="1"/>
    <cellStyle name="Lien hypertexte visité" xfId="1354" builtinId="9" hidden="1"/>
    <cellStyle name="Lien hypertexte visité" xfId="1356" builtinId="9" hidden="1"/>
    <cellStyle name="Lien hypertexte visité" xfId="1358" builtinId="9" hidden="1"/>
    <cellStyle name="Lien hypertexte visité" xfId="1360" builtinId="9" hidden="1"/>
    <cellStyle name="Lien hypertexte visité" xfId="1362" builtinId="9" hidden="1"/>
    <cellStyle name="Lien hypertexte visité" xfId="1364" builtinId="9" hidden="1"/>
    <cellStyle name="Lien hypertexte visité" xfId="1366" builtinId="9" hidden="1"/>
    <cellStyle name="Lien hypertexte visité" xfId="1368" builtinId="9" hidden="1"/>
    <cellStyle name="Lien hypertexte visité" xfId="1370" builtinId="9" hidden="1"/>
    <cellStyle name="Lien hypertexte visité" xfId="1372" builtinId="9" hidden="1"/>
    <cellStyle name="Lien hypertexte visité" xfId="1374" builtinId="9" hidden="1"/>
    <cellStyle name="Lien hypertexte visité" xfId="1376" builtinId="9" hidden="1"/>
    <cellStyle name="Lien hypertexte visité" xfId="1378" builtinId="9" hidden="1"/>
    <cellStyle name="Lien hypertexte visité" xfId="1380" builtinId="9" hidden="1"/>
    <cellStyle name="Lien hypertexte visité" xfId="1382" builtinId="9" hidden="1"/>
    <cellStyle name="Lien hypertexte visité" xfId="1384" builtinId="9" hidden="1"/>
    <cellStyle name="Lien hypertexte visité" xfId="1386" builtinId="9" hidden="1"/>
    <cellStyle name="Lien hypertexte visité" xfId="1388" builtinId="9" hidden="1"/>
    <cellStyle name="Lien hypertexte visité" xfId="1390" builtinId="9" hidden="1"/>
    <cellStyle name="Lien hypertexte visité" xfId="1392" builtinId="9" hidden="1"/>
    <cellStyle name="Lien hypertexte visité" xfId="1394" builtinId="9" hidden="1"/>
    <cellStyle name="Lien hypertexte visité" xfId="1396" builtinId="9" hidden="1"/>
    <cellStyle name="Lien hypertexte visité" xfId="1398" builtinId="9" hidden="1"/>
    <cellStyle name="Lien hypertexte visité" xfId="1400" builtinId="9" hidden="1"/>
    <cellStyle name="Lien hypertexte visité" xfId="1402" builtinId="9" hidden="1"/>
    <cellStyle name="Lien hypertexte visité" xfId="1404" builtinId="9" hidden="1"/>
    <cellStyle name="Lien hypertexte visité" xfId="1406" builtinId="9" hidden="1"/>
    <cellStyle name="Lien hypertexte visité" xfId="1408" builtinId="9" hidden="1"/>
    <cellStyle name="Lien hypertexte visité" xfId="1410" builtinId="9" hidden="1"/>
    <cellStyle name="Lien hypertexte visité" xfId="1412" builtinId="9" hidden="1"/>
    <cellStyle name="Lien hypertexte visité" xfId="1414" builtinId="9" hidden="1"/>
    <cellStyle name="Lien hypertexte visité" xfId="1416" builtinId="9" hidden="1"/>
    <cellStyle name="Lien hypertexte visité" xfId="1418" builtinId="9" hidden="1"/>
    <cellStyle name="Lien hypertexte visité" xfId="1420" builtinId="9" hidden="1"/>
    <cellStyle name="Lien hypertexte visité" xfId="1422" builtinId="9" hidden="1"/>
    <cellStyle name="Lien hypertexte visité" xfId="1424" builtinId="9" hidden="1"/>
    <cellStyle name="Lien hypertexte visité" xfId="1426" builtinId="9" hidden="1"/>
    <cellStyle name="Lien hypertexte visité" xfId="1428" builtinId="9" hidden="1"/>
    <cellStyle name="Lien hypertexte visité" xfId="1430" builtinId="9" hidden="1"/>
    <cellStyle name="Lien hypertexte visité" xfId="1432" builtinId="9" hidden="1"/>
    <cellStyle name="Lien hypertexte visité" xfId="1434" builtinId="9" hidden="1"/>
    <cellStyle name="Lien hypertexte visité" xfId="1436" builtinId="9" hidden="1"/>
    <cellStyle name="Lien hypertexte visité" xfId="1438" builtinId="9" hidden="1"/>
    <cellStyle name="Lien hypertexte visité" xfId="1440" builtinId="9" hidden="1"/>
    <cellStyle name="Lien hypertexte visité" xfId="1442" builtinId="9" hidden="1"/>
    <cellStyle name="Lien hypertexte visité" xfId="1444" builtinId="9" hidden="1"/>
    <cellStyle name="Lien hypertexte visité" xfId="1446" builtinId="9" hidden="1"/>
    <cellStyle name="Lien hypertexte visité" xfId="1448" builtinId="9" hidden="1"/>
    <cellStyle name="Lien hypertexte visité" xfId="1450" builtinId="9" hidden="1"/>
    <cellStyle name="Lien hypertexte visité" xfId="1452" builtinId="9" hidden="1"/>
    <cellStyle name="Lien hypertexte visité" xfId="1454" builtinId="9" hidden="1"/>
    <cellStyle name="Lien hypertexte visité" xfId="1456" builtinId="9" hidden="1"/>
    <cellStyle name="Lien hypertexte visité" xfId="1458" builtinId="9" hidden="1"/>
    <cellStyle name="Lien hypertexte visité" xfId="1460" builtinId="9" hidden="1"/>
    <cellStyle name="Lien hypertexte visité" xfId="1462" builtinId="9" hidden="1"/>
    <cellStyle name="Lien hypertexte visité" xfId="1464" builtinId="9" hidden="1"/>
    <cellStyle name="Lien hypertexte visité" xfId="1466" builtinId="9" hidden="1"/>
    <cellStyle name="Lien hypertexte visité" xfId="1468" builtinId="9" hidden="1"/>
    <cellStyle name="Lien hypertexte visité" xfId="1470" builtinId="9" hidden="1"/>
    <cellStyle name="Lien hypertexte visité" xfId="1472" builtinId="9" hidden="1"/>
    <cellStyle name="Lien hypertexte visité" xfId="1474" builtinId="9" hidden="1"/>
    <cellStyle name="Lien hypertexte visité" xfId="1476" builtinId="9" hidden="1"/>
    <cellStyle name="Lien hypertexte visité" xfId="1478" builtinId="9" hidden="1"/>
    <cellStyle name="Lien hypertexte visité" xfId="1480" builtinId="9" hidden="1"/>
    <cellStyle name="Lien hypertexte visité" xfId="1482" builtinId="9" hidden="1"/>
    <cellStyle name="Lien hypertexte visité" xfId="1484" builtinId="9" hidden="1"/>
    <cellStyle name="Lien hypertexte visité" xfId="1486" builtinId="9" hidden="1"/>
    <cellStyle name="Lien hypertexte visité" xfId="1488" builtinId="9" hidden="1"/>
    <cellStyle name="Lien hypertexte visité" xfId="1490" builtinId="9" hidden="1"/>
    <cellStyle name="Lien hypertexte visité" xfId="1492" builtinId="9" hidden="1"/>
    <cellStyle name="Lien hypertexte visité" xfId="1494" builtinId="9" hidden="1"/>
    <cellStyle name="Lien hypertexte visité" xfId="1496" builtinId="9" hidden="1"/>
    <cellStyle name="Lien hypertexte visité" xfId="1498" builtinId="9" hidden="1"/>
    <cellStyle name="Lien hypertexte visité" xfId="1500" builtinId="9" hidden="1"/>
    <cellStyle name="Lien hypertexte visité" xfId="1502" builtinId="9" hidden="1"/>
    <cellStyle name="Lien hypertexte visité" xfId="1504" builtinId="9" hidden="1"/>
    <cellStyle name="Lien hypertexte visité" xfId="1506" builtinId="9" hidden="1"/>
    <cellStyle name="Lien hypertexte visité" xfId="1508" builtinId="9" hidden="1"/>
    <cellStyle name="Lien hypertexte visité" xfId="1510" builtinId="9" hidden="1"/>
    <cellStyle name="Lien hypertexte visité" xfId="1512" builtinId="9" hidden="1"/>
    <cellStyle name="Lien hypertexte visité" xfId="1514" builtinId="9" hidden="1"/>
    <cellStyle name="Lien hypertexte visité" xfId="1516" builtinId="9" hidden="1"/>
    <cellStyle name="Lien hypertexte visité" xfId="1518" builtinId="9" hidden="1"/>
    <cellStyle name="Lien hypertexte visité" xfId="1520" builtinId="9" hidden="1"/>
    <cellStyle name="Lien hypertexte visité" xfId="1522" builtinId="9" hidden="1"/>
    <cellStyle name="Lien hypertexte visité" xfId="1524" builtinId="9" hidden="1"/>
    <cellStyle name="Lien hypertexte visité" xfId="1526" builtinId="9" hidden="1"/>
    <cellStyle name="Lien hypertexte visité" xfId="1528" builtinId="9" hidden="1"/>
    <cellStyle name="Lien hypertexte visité" xfId="1530" builtinId="9" hidden="1"/>
    <cellStyle name="Lien hypertexte visité" xfId="1532" builtinId="9" hidden="1"/>
    <cellStyle name="Lien hypertexte visité" xfId="1534" builtinId="9" hidden="1"/>
    <cellStyle name="Lien hypertexte visité" xfId="1536" builtinId="9" hidden="1"/>
    <cellStyle name="Lien hypertexte visité" xfId="1538" builtinId="9" hidden="1"/>
    <cellStyle name="Lien hypertexte visité" xfId="1540" builtinId="9" hidden="1"/>
    <cellStyle name="Lien hypertexte visité" xfId="1542" builtinId="9" hidden="1"/>
    <cellStyle name="Lien hypertexte visité" xfId="1544" builtinId="9" hidden="1"/>
    <cellStyle name="Lien hypertexte visité" xfId="1546" builtinId="9" hidden="1"/>
    <cellStyle name="Lien hypertexte visité" xfId="1548" builtinId="9" hidden="1"/>
    <cellStyle name="Lien hypertexte visité" xfId="1550" builtinId="9" hidden="1"/>
    <cellStyle name="Lien hypertexte visité" xfId="1552" builtinId="9" hidden="1"/>
    <cellStyle name="Lien hypertexte visité" xfId="1554" builtinId="9" hidden="1"/>
    <cellStyle name="Lien hypertexte visité" xfId="1556" builtinId="9" hidden="1"/>
    <cellStyle name="Lien hypertexte visité" xfId="1558" builtinId="9" hidden="1"/>
    <cellStyle name="Lien hypertexte visité" xfId="1560" builtinId="9" hidden="1"/>
    <cellStyle name="Lien hypertexte visité" xfId="1562" builtinId="9" hidden="1"/>
    <cellStyle name="Lien hypertexte visité" xfId="1564" builtinId="9" hidden="1"/>
    <cellStyle name="Lien hypertexte visité" xfId="1566" builtinId="9" hidden="1"/>
    <cellStyle name="Lien hypertexte visité" xfId="1568" builtinId="9" hidden="1"/>
    <cellStyle name="Lien hypertexte visité" xfId="1570" builtinId="9" hidden="1"/>
    <cellStyle name="Lien hypertexte visité" xfId="1572" builtinId="9" hidden="1"/>
    <cellStyle name="Lien hypertexte visité" xfId="1574" builtinId="9" hidden="1"/>
    <cellStyle name="Lien hypertexte visité" xfId="1576" builtinId="9" hidden="1"/>
    <cellStyle name="Lien hypertexte visité" xfId="1578" builtinId="9" hidden="1"/>
    <cellStyle name="Lien hypertexte visité" xfId="1580" builtinId="9" hidden="1"/>
    <cellStyle name="Lien hypertexte visité" xfId="1582" builtinId="9" hidden="1"/>
    <cellStyle name="Lien hypertexte visité" xfId="1584" builtinId="9" hidden="1"/>
    <cellStyle name="Lien hypertexte visité" xfId="1586" builtinId="9" hidden="1"/>
    <cellStyle name="Lien hypertexte visité" xfId="1588" builtinId="9" hidden="1"/>
    <cellStyle name="Lien hypertexte visité" xfId="1590" builtinId="9" hidden="1"/>
    <cellStyle name="Lien hypertexte visité" xfId="1592" builtinId="9" hidden="1"/>
    <cellStyle name="Lien hypertexte visité" xfId="1594" builtinId="9" hidden="1"/>
    <cellStyle name="Lien hypertexte visité" xfId="1596" builtinId="9" hidden="1"/>
    <cellStyle name="Lien hypertexte visité" xfId="1598" builtinId="9" hidden="1"/>
    <cellStyle name="Lien hypertexte visité" xfId="1600" builtinId="9" hidden="1"/>
    <cellStyle name="Lien hypertexte visité" xfId="1602" builtinId="9" hidden="1"/>
    <cellStyle name="Lien hypertexte visité" xfId="1604" builtinId="9" hidden="1"/>
    <cellStyle name="Lien hypertexte visité" xfId="1606" builtinId="9" hidden="1"/>
    <cellStyle name="Lien hypertexte visité" xfId="1608" builtinId="9" hidden="1"/>
    <cellStyle name="Lien hypertexte visité" xfId="1610" builtinId="9" hidden="1"/>
    <cellStyle name="Lien hypertexte visité" xfId="1612" builtinId="9" hidden="1"/>
    <cellStyle name="Lien hypertexte visité" xfId="1614" builtinId="9" hidden="1"/>
    <cellStyle name="Lien hypertexte visité" xfId="1616" builtinId="9" hidden="1"/>
    <cellStyle name="Lien hypertexte visité" xfId="1618" builtinId="9" hidden="1"/>
    <cellStyle name="Lien hypertexte visité" xfId="1620" builtinId="9" hidden="1"/>
    <cellStyle name="Lien hypertexte visité" xfId="1622" builtinId="9" hidden="1"/>
    <cellStyle name="Lien hypertexte visité" xfId="1624" builtinId="9" hidden="1"/>
    <cellStyle name="Lien hypertexte visité" xfId="1626" builtinId="9" hidden="1"/>
    <cellStyle name="Lien hypertexte visité" xfId="1628" builtinId="9" hidden="1"/>
    <cellStyle name="Lien hypertexte visité" xfId="1630" builtinId="9" hidden="1"/>
    <cellStyle name="Lien hypertexte visité" xfId="1632" builtinId="9" hidden="1"/>
    <cellStyle name="Lien hypertexte visité" xfId="1634" builtinId="9" hidden="1"/>
    <cellStyle name="Lien hypertexte visité" xfId="1636" builtinId="9" hidden="1"/>
    <cellStyle name="Lien hypertexte visité" xfId="1638" builtinId="9" hidden="1"/>
    <cellStyle name="Lien hypertexte visité" xfId="1640" builtinId="9" hidden="1"/>
    <cellStyle name="Lien hypertexte visité" xfId="1642" builtinId="9" hidden="1"/>
    <cellStyle name="Lien hypertexte visité" xfId="1644" builtinId="9" hidden="1"/>
    <cellStyle name="Lien hypertexte visité" xfId="1646" builtinId="9" hidden="1"/>
    <cellStyle name="Lien hypertexte visité" xfId="1648" builtinId="9" hidden="1"/>
    <cellStyle name="Lien hypertexte visité" xfId="1650" builtinId="9" hidden="1"/>
    <cellStyle name="Lien hypertexte visité" xfId="1652" builtinId="9" hidden="1"/>
    <cellStyle name="Lien hypertexte visité" xfId="1654" builtinId="9" hidden="1"/>
    <cellStyle name="Lien hypertexte visité" xfId="1656" builtinId="9" hidden="1"/>
    <cellStyle name="Lien hypertexte visité" xfId="1658" builtinId="9" hidden="1"/>
    <cellStyle name="Lien hypertexte visité" xfId="1660" builtinId="9" hidden="1"/>
    <cellStyle name="Lien hypertexte visité" xfId="1662" builtinId="9" hidden="1"/>
    <cellStyle name="Lien hypertexte visité" xfId="1664" builtinId="9" hidden="1"/>
    <cellStyle name="Lien hypertexte visité" xfId="1666" builtinId="9" hidden="1"/>
    <cellStyle name="Lien hypertexte visité" xfId="1668" builtinId="9" hidden="1"/>
    <cellStyle name="Lien hypertexte visité" xfId="1670" builtinId="9" hidden="1"/>
    <cellStyle name="Lien hypertexte visité" xfId="1672" builtinId="9" hidden="1"/>
    <cellStyle name="Lien hypertexte visité" xfId="1674" builtinId="9" hidden="1"/>
    <cellStyle name="Lien hypertexte visité" xfId="1676" builtinId="9" hidden="1"/>
    <cellStyle name="Lien hypertexte visité" xfId="1678" builtinId="9" hidden="1"/>
    <cellStyle name="Lien hypertexte visité" xfId="1680" builtinId="9" hidden="1"/>
    <cellStyle name="Lien hypertexte visité" xfId="1682" builtinId="9" hidden="1"/>
    <cellStyle name="Lien hypertexte visité" xfId="1684" builtinId="9" hidden="1"/>
    <cellStyle name="Lien hypertexte visité" xfId="1686" builtinId="9" hidden="1"/>
    <cellStyle name="Lien hypertexte visité" xfId="1688" builtinId="9" hidden="1"/>
    <cellStyle name="Lien hypertexte visité" xfId="1690" builtinId="9" hidden="1"/>
    <cellStyle name="Lien hypertexte visité" xfId="1692" builtinId="9" hidden="1"/>
    <cellStyle name="Lien hypertexte visité" xfId="1694" builtinId="9" hidden="1"/>
    <cellStyle name="Lien hypertexte visité" xfId="1696" builtinId="9" hidden="1"/>
    <cellStyle name="Lien hypertexte visité" xfId="1698" builtinId="9" hidden="1"/>
    <cellStyle name="Lien hypertexte visité" xfId="1700" builtinId="9" hidden="1"/>
    <cellStyle name="Lien hypertexte visité" xfId="1702" builtinId="9" hidden="1"/>
    <cellStyle name="Lien hypertexte visité" xfId="1704" builtinId="9" hidden="1"/>
    <cellStyle name="Lien hypertexte visité" xfId="1706" builtinId="9" hidden="1"/>
    <cellStyle name="Lien hypertexte visité" xfId="1708" builtinId="9" hidden="1"/>
    <cellStyle name="Lien hypertexte visité" xfId="1710" builtinId="9" hidden="1"/>
    <cellStyle name="Lien hypertexte visité" xfId="1712" builtinId="9" hidden="1"/>
    <cellStyle name="Lien hypertexte visité" xfId="1714" builtinId="9" hidden="1"/>
    <cellStyle name="Lien hypertexte visité" xfId="1716" builtinId="9" hidden="1"/>
    <cellStyle name="Lien hypertexte visité" xfId="1718" builtinId="9" hidden="1"/>
    <cellStyle name="Lien hypertexte visité" xfId="1720" builtinId="9" hidden="1"/>
    <cellStyle name="Lien hypertexte visité" xfId="1722" builtinId="9" hidden="1"/>
    <cellStyle name="Lien hypertexte visité" xfId="1724" builtinId="9" hidden="1"/>
    <cellStyle name="Lien hypertexte visité" xfId="1726" builtinId="9" hidden="1"/>
    <cellStyle name="Lien hypertexte visité" xfId="1728" builtinId="9" hidden="1"/>
    <cellStyle name="Lien hypertexte visité" xfId="1730" builtinId="9" hidden="1"/>
    <cellStyle name="Lien hypertexte visité" xfId="1732" builtinId="9" hidden="1"/>
    <cellStyle name="Lien hypertexte visité" xfId="1734" builtinId="9" hidden="1"/>
    <cellStyle name="Lien hypertexte visité" xfId="1736" builtinId="9" hidden="1"/>
    <cellStyle name="Lien hypertexte visité" xfId="1738" builtinId="9" hidden="1"/>
    <cellStyle name="Lien hypertexte visité" xfId="1740" builtinId="9" hidden="1"/>
    <cellStyle name="Lien hypertexte visité" xfId="1742" builtinId="9" hidden="1"/>
    <cellStyle name="Lien hypertexte visité" xfId="1744" builtinId="9" hidden="1"/>
    <cellStyle name="Lien hypertexte visité" xfId="1746" builtinId="9" hidden="1"/>
    <cellStyle name="Lien hypertexte visité" xfId="1748" builtinId="9" hidden="1"/>
    <cellStyle name="Lien hypertexte visité" xfId="1750" builtinId="9" hidden="1"/>
    <cellStyle name="Lien hypertexte visité" xfId="1752" builtinId="9" hidden="1"/>
    <cellStyle name="Lien hypertexte visité" xfId="1754" builtinId="9" hidden="1"/>
    <cellStyle name="Lien hypertexte visité" xfId="1756" builtinId="9" hidden="1"/>
    <cellStyle name="Lien hypertexte visité" xfId="1758" builtinId="9" hidden="1"/>
    <cellStyle name="Lien hypertexte visité" xfId="1760" builtinId="9" hidden="1"/>
    <cellStyle name="Lien hypertexte visité" xfId="1762" builtinId="9" hidden="1"/>
    <cellStyle name="Lien hypertexte visité" xfId="1764" builtinId="9" hidden="1"/>
    <cellStyle name="Lien hypertexte visité" xfId="1766" builtinId="9" hidden="1"/>
    <cellStyle name="Lien hypertexte visité" xfId="1768" builtinId="9" hidden="1"/>
    <cellStyle name="Lien hypertexte visité" xfId="1770" builtinId="9" hidden="1"/>
    <cellStyle name="Lien hypertexte visité" xfId="1772" builtinId="9" hidden="1"/>
    <cellStyle name="Lien hypertexte visité" xfId="1774" builtinId="9" hidden="1"/>
    <cellStyle name="Lien hypertexte visité" xfId="1776" builtinId="9" hidden="1"/>
    <cellStyle name="Lien hypertexte visité" xfId="1778" builtinId="9" hidden="1"/>
    <cellStyle name="Lien hypertexte visité" xfId="1780" builtinId="9" hidden="1"/>
    <cellStyle name="Lien hypertexte visité" xfId="1782" builtinId="9" hidden="1"/>
    <cellStyle name="Lien hypertexte visité" xfId="1784" builtinId="9" hidden="1"/>
    <cellStyle name="Lien hypertexte visité" xfId="1786" builtinId="9" hidden="1"/>
    <cellStyle name="Lien hypertexte visité" xfId="1788" builtinId="9" hidden="1"/>
    <cellStyle name="Lien hypertexte visité" xfId="1790" builtinId="9" hidden="1"/>
    <cellStyle name="Lien hypertexte visité" xfId="1792" builtinId="9" hidden="1"/>
    <cellStyle name="Lien hypertexte visité" xfId="1794" builtinId="9" hidden="1"/>
    <cellStyle name="Lien hypertexte visité" xfId="1796" builtinId="9" hidden="1"/>
    <cellStyle name="Lien hypertexte visité" xfId="1798" builtinId="9" hidden="1"/>
    <cellStyle name="Lien hypertexte visité" xfId="1800" builtinId="9" hidden="1"/>
    <cellStyle name="Lien hypertexte visité" xfId="1802" builtinId="9" hidden="1"/>
    <cellStyle name="Lien hypertexte visité" xfId="1804" builtinId="9" hidden="1"/>
    <cellStyle name="Lien hypertexte visité" xfId="1806" builtinId="9" hidden="1"/>
    <cellStyle name="Lien hypertexte visité" xfId="1808" builtinId="9" hidden="1"/>
    <cellStyle name="Lien hypertexte visité" xfId="1810" builtinId="9" hidden="1"/>
    <cellStyle name="Lien hypertexte visité" xfId="1812" builtinId="9" hidden="1"/>
    <cellStyle name="Lien hypertexte visité" xfId="1814" builtinId="9" hidden="1"/>
    <cellStyle name="Lien hypertexte visité" xfId="1816" builtinId="9" hidden="1"/>
    <cellStyle name="Lien hypertexte visité" xfId="1818" builtinId="9" hidden="1"/>
    <cellStyle name="Lien hypertexte visité" xfId="1820" builtinId="9" hidden="1"/>
    <cellStyle name="Lien hypertexte visité" xfId="1822" builtinId="9" hidden="1"/>
    <cellStyle name="Lien hypertexte visité" xfId="1824" builtinId="9" hidden="1"/>
    <cellStyle name="Lien hypertexte visité" xfId="1826" builtinId="9" hidden="1"/>
    <cellStyle name="Lien hypertexte visité" xfId="1828" builtinId="9" hidden="1"/>
    <cellStyle name="Lien hypertexte visité" xfId="1830" builtinId="9" hidden="1"/>
    <cellStyle name="Lien hypertexte visité" xfId="1832" builtinId="9" hidden="1"/>
    <cellStyle name="Lien hypertexte visité" xfId="1834" builtinId="9" hidden="1"/>
    <cellStyle name="Lien hypertexte visité" xfId="1836" builtinId="9" hidden="1"/>
    <cellStyle name="Lien hypertexte visité" xfId="1838" builtinId="9" hidden="1"/>
    <cellStyle name="Lien hypertexte visité" xfId="1840" builtinId="9" hidden="1"/>
    <cellStyle name="Lien hypertexte visité" xfId="1842" builtinId="9" hidden="1"/>
    <cellStyle name="Lien hypertexte visité" xfId="1844" builtinId="9" hidden="1"/>
    <cellStyle name="Lien hypertexte visité" xfId="1846" builtinId="9" hidden="1"/>
    <cellStyle name="Lien hypertexte visité" xfId="1848" builtinId="9" hidden="1"/>
    <cellStyle name="Lien hypertexte visité" xfId="1850" builtinId="9" hidden="1"/>
    <cellStyle name="Lien hypertexte visité" xfId="1852" builtinId="9" hidden="1"/>
    <cellStyle name="Lien hypertexte visité" xfId="1854" builtinId="9" hidden="1"/>
    <cellStyle name="Lien hypertexte visité" xfId="1856" builtinId="9" hidden="1"/>
    <cellStyle name="Lien hypertexte visité" xfId="1858" builtinId="9" hidden="1"/>
    <cellStyle name="Lien hypertexte visité" xfId="1860" builtinId="9" hidden="1"/>
    <cellStyle name="Lien hypertexte visité" xfId="1862" builtinId="9" hidden="1"/>
    <cellStyle name="Lien hypertexte visité" xfId="1864" builtinId="9" hidden="1"/>
    <cellStyle name="Lien hypertexte visité" xfId="1866" builtinId="9" hidden="1"/>
    <cellStyle name="Lien hypertexte visité" xfId="1868" builtinId="9" hidden="1"/>
    <cellStyle name="Lien hypertexte visité" xfId="1870" builtinId="9" hidden="1"/>
    <cellStyle name="Lien hypertexte visité" xfId="1872" builtinId="9" hidden="1"/>
    <cellStyle name="Lien hypertexte visité" xfId="1874" builtinId="9" hidden="1"/>
    <cellStyle name="Lien hypertexte visité" xfId="1876" builtinId="9" hidden="1"/>
    <cellStyle name="Lien hypertexte visité" xfId="1878" builtinId="9" hidden="1"/>
    <cellStyle name="Lien hypertexte visité" xfId="1880" builtinId="9" hidden="1"/>
    <cellStyle name="Lien hypertexte visité" xfId="1882" builtinId="9" hidden="1"/>
    <cellStyle name="Lien hypertexte visité" xfId="1884" builtinId="9" hidden="1"/>
    <cellStyle name="Lien hypertexte visité" xfId="1886" builtinId="9" hidden="1"/>
    <cellStyle name="Lien hypertexte visité" xfId="1888" builtinId="9" hidden="1"/>
    <cellStyle name="Lien hypertexte visité" xfId="1890" builtinId="9" hidden="1"/>
    <cellStyle name="Lien hypertexte visité" xfId="1892" builtinId="9" hidden="1"/>
    <cellStyle name="Lien hypertexte visité" xfId="1894" builtinId="9" hidden="1"/>
    <cellStyle name="Lien hypertexte visité" xfId="1896" builtinId="9" hidden="1"/>
    <cellStyle name="Lien hypertexte visité" xfId="1898" builtinId="9" hidden="1"/>
    <cellStyle name="Normal" xfId="0" builtinId="0"/>
    <cellStyle name="Pourcentage" xfId="155" builtinId="5"/>
  </cellStyles>
  <dxfs count="81">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fill>
        <patternFill patternType="solid">
          <fgColor indexed="64"/>
          <bgColor rgb="FFFFFF00"/>
        </patternFill>
      </fill>
    </dxf>
    <dxf>
      <font>
        <color rgb="FF9C0006"/>
      </font>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indexed="64"/>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indexed="64"/>
          <bgColor theme="0" tint="-0.14999847407452621"/>
        </patternFill>
      </fill>
    </dxf>
    <dxf>
      <font>
        <color rgb="FFD9D9D9"/>
      </font>
      <fill>
        <patternFill>
          <bgColor rgb="FFD9D9D9"/>
        </patternFill>
      </fill>
    </dxf>
    <dxf>
      <font>
        <color rgb="FFD9D9D9"/>
      </font>
      <fill>
        <patternFill>
          <bgColor rgb="FFD9D9D9"/>
        </patternFill>
      </fill>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indexed="64"/>
          <bgColor theme="0" tint="-0.14999847407452621"/>
        </patternFill>
      </fill>
    </dxf>
    <dxf>
      <font>
        <color theme="0" tint="-0.14999847407452621"/>
      </font>
      <fill>
        <patternFill patternType="solid">
          <fgColor indexed="64"/>
          <bgColor theme="0" tint="-0.14999847407452621"/>
        </patternFill>
      </fill>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theme="0" tint="-0.14999847407452621"/>
      </font>
      <fill>
        <patternFill patternType="solid">
          <fgColor auto="1"/>
          <bgColor theme="0" tint="-0.14999847407452621"/>
        </patternFill>
      </fill>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dxf>
    <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dxf>
    <dxf>
      <font>
        <color rgb="FF9C0006"/>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9" defaultPivotStyle="PivotStyleLight16"/>
  <colors>
    <mruColors>
      <color rgb="FFF2FDC1"/>
      <color rgb="FFFDE55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114300</xdr:colOff>
          <xdr:row>2</xdr:row>
          <xdr:rowOff>0</xdr:rowOff>
        </xdr:from>
        <xdr:to>
          <xdr:col>4</xdr:col>
          <xdr:colOff>50800</xdr:colOff>
          <xdr:row>2</xdr:row>
          <xdr:rowOff>190500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de-CH" sz="800" b="0" i="0" u="none" strike="noStrike" baseline="0">
                  <a:solidFill>
                    <a:srgbClr val="000000"/>
                  </a:solidFill>
                  <a:latin typeface="Calibri"/>
                  <a:ea typeface="Calibri"/>
                  <a:cs typeface="Calibri"/>
                </a:rPr>
                <a:t>Clear All Answers</a:t>
              </a:r>
            </a:p>
          </xdr:txBody>
        </xdr:sp>
        <xdr:clientData fPrintsWithSheet="0"/>
      </xdr:twoCellAnchor>
    </mc:Choice>
    <mc:Fallback/>
  </mc:AlternateContent>
  <xdr:twoCellAnchor editAs="oneCell">
    <xdr:from>
      <xdr:col>4</xdr:col>
      <xdr:colOff>93975</xdr:colOff>
      <xdr:row>0</xdr:row>
      <xdr:rowOff>1</xdr:rowOff>
    </xdr:from>
    <xdr:to>
      <xdr:col>4</xdr:col>
      <xdr:colOff>1110133</xdr:colOff>
      <xdr:row>5</xdr:row>
      <xdr:rowOff>234772</xdr:rowOff>
    </xdr:to>
    <xdr:pic>
      <xdr:nvPicPr>
        <xdr:cNvPr id="7" name="Grafik 6">
          <a:extLst>
            <a:ext uri="{FF2B5EF4-FFF2-40B4-BE49-F238E27FC236}">
              <a16:creationId xmlns:a16="http://schemas.microsoft.com/office/drawing/2014/main" id="{67A9B62C-4989-BC6F-95F2-82404B200A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05621" y="1"/>
          <a:ext cx="1016158" cy="1281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1150357</xdr:colOff>
      <xdr:row>0</xdr:row>
      <xdr:rowOff>0</xdr:rowOff>
    </xdr:from>
    <xdr:to>
      <xdr:col>4</xdr:col>
      <xdr:colOff>2176664</xdr:colOff>
      <xdr:row>5</xdr:row>
      <xdr:rowOff>241479</xdr:rowOff>
    </xdr:to>
    <xdr:pic>
      <xdr:nvPicPr>
        <xdr:cNvPr id="9" name="Grafik 8">
          <a:extLst>
            <a:ext uri="{FF2B5EF4-FFF2-40B4-BE49-F238E27FC236}">
              <a16:creationId xmlns:a16="http://schemas.microsoft.com/office/drawing/2014/main" id="{65805089-B149-0AE7-291D-82C676C44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35674" y="0"/>
          <a:ext cx="1026307" cy="1314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50800</xdr:colOff>
      <xdr:row>55</xdr:row>
      <xdr:rowOff>12700</xdr:rowOff>
    </xdr:from>
    <xdr:to>
      <xdr:col>10</xdr:col>
      <xdr:colOff>25400</xdr:colOff>
      <xdr:row>71</xdr:row>
      <xdr:rowOff>152400</xdr:rowOff>
    </xdr:to>
    <xdr:sp macro="" textlink="" fLocksText="0">
      <xdr:nvSpPr>
        <xdr:cNvPr id="2" name="TextBox 1">
          <a:extLst>
            <a:ext uri="{FF2B5EF4-FFF2-40B4-BE49-F238E27FC236}">
              <a16:creationId xmlns:a16="http://schemas.microsoft.com/office/drawing/2014/main" id="{00000000-0008-0000-0C00-000002000000}"/>
            </a:ext>
          </a:extLst>
        </xdr:cNvPr>
        <xdr:cNvSpPr txBox="1"/>
      </xdr:nvSpPr>
      <xdr:spPr>
        <a:xfrm>
          <a:off x="50800" y="16662400"/>
          <a:ext cx="13462000" cy="31877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36</xdr:row>
      <xdr:rowOff>165100</xdr:rowOff>
    </xdr:from>
    <xdr:to>
      <xdr:col>9</xdr:col>
      <xdr:colOff>3683000</xdr:colOff>
      <xdr:row>52</xdr:row>
      <xdr:rowOff>139700</xdr:rowOff>
    </xdr:to>
    <xdr:sp macro="" textlink="" fLocksText="0">
      <xdr:nvSpPr>
        <xdr:cNvPr id="2" name="TextBox 1">
          <a:extLst>
            <a:ext uri="{FF2B5EF4-FFF2-40B4-BE49-F238E27FC236}">
              <a16:creationId xmlns:a16="http://schemas.microsoft.com/office/drawing/2014/main" id="{00000000-0008-0000-0D00-000002000000}"/>
            </a:ext>
          </a:extLst>
        </xdr:cNvPr>
        <xdr:cNvSpPr txBox="1"/>
      </xdr:nvSpPr>
      <xdr:spPr>
        <a:xfrm>
          <a:off x="38100" y="13474700"/>
          <a:ext cx="14617700" cy="30226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39</xdr:row>
      <xdr:rowOff>165100</xdr:rowOff>
    </xdr:from>
    <xdr:to>
      <xdr:col>10</xdr:col>
      <xdr:colOff>25400</xdr:colOff>
      <xdr:row>55</xdr:row>
      <xdr:rowOff>127000</xdr:rowOff>
    </xdr:to>
    <xdr:sp macro="" textlink="" fLocksText="0">
      <xdr:nvSpPr>
        <xdr:cNvPr id="2" name="TextBox 1">
          <a:extLst>
            <a:ext uri="{FF2B5EF4-FFF2-40B4-BE49-F238E27FC236}">
              <a16:creationId xmlns:a16="http://schemas.microsoft.com/office/drawing/2014/main" id="{00000000-0008-0000-0E00-000002000000}"/>
            </a:ext>
          </a:extLst>
        </xdr:cNvPr>
        <xdr:cNvSpPr txBox="1"/>
      </xdr:nvSpPr>
      <xdr:spPr>
        <a:xfrm>
          <a:off x="38100" y="12573000"/>
          <a:ext cx="13474700" cy="3251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63500</xdr:colOff>
      <xdr:row>39</xdr:row>
      <xdr:rowOff>88900</xdr:rowOff>
    </xdr:from>
    <xdr:to>
      <xdr:col>9</xdr:col>
      <xdr:colOff>3632200</xdr:colOff>
      <xdr:row>56</xdr:row>
      <xdr:rowOff>165100</xdr:rowOff>
    </xdr:to>
    <xdr:sp macro="" textlink="" fLocksText="0">
      <xdr:nvSpPr>
        <xdr:cNvPr id="2" name="TextBox 1">
          <a:extLst>
            <a:ext uri="{FF2B5EF4-FFF2-40B4-BE49-F238E27FC236}">
              <a16:creationId xmlns:a16="http://schemas.microsoft.com/office/drawing/2014/main" id="{00000000-0008-0000-0F00-000002000000}"/>
            </a:ext>
          </a:extLst>
        </xdr:cNvPr>
        <xdr:cNvSpPr txBox="1"/>
      </xdr:nvSpPr>
      <xdr:spPr>
        <a:xfrm>
          <a:off x="63500" y="14325600"/>
          <a:ext cx="13703300" cy="33147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12700</xdr:colOff>
      <xdr:row>20</xdr:row>
      <xdr:rowOff>12700</xdr:rowOff>
    </xdr:from>
    <xdr:to>
      <xdr:col>7</xdr:col>
      <xdr:colOff>12700</xdr:colOff>
      <xdr:row>36</xdr:row>
      <xdr:rowOff>139700</xdr:rowOff>
    </xdr:to>
    <xdr:sp macro="" textlink="" fLocksText="0">
      <xdr:nvSpPr>
        <xdr:cNvPr id="2" name="TextBox 1">
          <a:extLst>
            <a:ext uri="{FF2B5EF4-FFF2-40B4-BE49-F238E27FC236}">
              <a16:creationId xmlns:a16="http://schemas.microsoft.com/office/drawing/2014/main" id="{00000000-0008-0000-0400-000002000000}"/>
            </a:ext>
          </a:extLst>
        </xdr:cNvPr>
        <xdr:cNvSpPr txBox="1"/>
      </xdr:nvSpPr>
      <xdr:spPr>
        <a:xfrm>
          <a:off x="12700" y="6858000"/>
          <a:ext cx="13601700" cy="29718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88900</xdr:colOff>
      <xdr:row>30</xdr:row>
      <xdr:rowOff>0</xdr:rowOff>
    </xdr:from>
    <xdr:to>
      <xdr:col>9</xdr:col>
      <xdr:colOff>3632200</xdr:colOff>
      <xdr:row>46</xdr:row>
      <xdr:rowOff>127000</xdr:rowOff>
    </xdr:to>
    <xdr:sp macro="" textlink="" fLocksText="0">
      <xdr:nvSpPr>
        <xdr:cNvPr id="2" name="TextBox 1">
          <a:extLst>
            <a:ext uri="{FF2B5EF4-FFF2-40B4-BE49-F238E27FC236}">
              <a16:creationId xmlns:a16="http://schemas.microsoft.com/office/drawing/2014/main" id="{00000000-0008-0000-0500-000002000000}"/>
            </a:ext>
          </a:extLst>
        </xdr:cNvPr>
        <xdr:cNvSpPr txBox="1"/>
      </xdr:nvSpPr>
      <xdr:spPr>
        <a:xfrm>
          <a:off x="88900" y="12052300"/>
          <a:ext cx="13335000" cy="27686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41</xdr:row>
      <xdr:rowOff>12700</xdr:rowOff>
    </xdr:from>
    <xdr:to>
      <xdr:col>10</xdr:col>
      <xdr:colOff>20320</xdr:colOff>
      <xdr:row>57</xdr:row>
      <xdr:rowOff>139700</xdr:rowOff>
    </xdr:to>
    <xdr:sp macro="" textlink="" fLocksText="0">
      <xdr:nvSpPr>
        <xdr:cNvPr id="2" name="TextBox 1">
          <a:extLst>
            <a:ext uri="{FF2B5EF4-FFF2-40B4-BE49-F238E27FC236}">
              <a16:creationId xmlns:a16="http://schemas.microsoft.com/office/drawing/2014/main" id="{00000000-0008-0000-0600-000002000000}"/>
            </a:ext>
          </a:extLst>
        </xdr:cNvPr>
        <xdr:cNvSpPr txBox="1"/>
      </xdr:nvSpPr>
      <xdr:spPr>
        <a:xfrm>
          <a:off x="25400" y="14683740"/>
          <a:ext cx="13497560" cy="321564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50800</xdr:colOff>
      <xdr:row>44</xdr:row>
      <xdr:rowOff>12700</xdr:rowOff>
    </xdr:from>
    <xdr:to>
      <xdr:col>9</xdr:col>
      <xdr:colOff>3670300</xdr:colOff>
      <xdr:row>61</xdr:row>
      <xdr:rowOff>139700</xdr:rowOff>
    </xdr:to>
    <xdr:sp macro="" textlink="" fLocksText="0">
      <xdr:nvSpPr>
        <xdr:cNvPr id="2" name="TextBox 1">
          <a:extLst>
            <a:ext uri="{FF2B5EF4-FFF2-40B4-BE49-F238E27FC236}">
              <a16:creationId xmlns:a16="http://schemas.microsoft.com/office/drawing/2014/main" id="{00000000-0008-0000-0700-000002000000}"/>
            </a:ext>
          </a:extLst>
        </xdr:cNvPr>
        <xdr:cNvSpPr txBox="1"/>
      </xdr:nvSpPr>
      <xdr:spPr>
        <a:xfrm>
          <a:off x="50800" y="20040600"/>
          <a:ext cx="13411200" cy="31496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20</xdr:row>
      <xdr:rowOff>0</xdr:rowOff>
    </xdr:from>
    <xdr:to>
      <xdr:col>9</xdr:col>
      <xdr:colOff>3676316</xdr:colOff>
      <xdr:row>36</xdr:row>
      <xdr:rowOff>127000</xdr:rowOff>
    </xdr:to>
    <xdr:sp macro="" textlink="" fLocksText="0">
      <xdr:nvSpPr>
        <xdr:cNvPr id="2" name="TextBox 1">
          <a:extLst>
            <a:ext uri="{FF2B5EF4-FFF2-40B4-BE49-F238E27FC236}">
              <a16:creationId xmlns:a16="http://schemas.microsoft.com/office/drawing/2014/main" id="{00000000-0008-0000-0800-000002000000}"/>
            </a:ext>
          </a:extLst>
        </xdr:cNvPr>
        <xdr:cNvSpPr txBox="1"/>
      </xdr:nvSpPr>
      <xdr:spPr>
        <a:xfrm>
          <a:off x="38100" y="6249737"/>
          <a:ext cx="13430584" cy="297893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50800</xdr:colOff>
      <xdr:row>39</xdr:row>
      <xdr:rowOff>0</xdr:rowOff>
    </xdr:from>
    <xdr:to>
      <xdr:col>9</xdr:col>
      <xdr:colOff>3670300</xdr:colOff>
      <xdr:row>54</xdr:row>
      <xdr:rowOff>139700</xdr:rowOff>
    </xdr:to>
    <xdr:sp macro="" textlink="" fLocksText="0">
      <xdr:nvSpPr>
        <xdr:cNvPr id="2" name="TextBox 1">
          <a:extLst>
            <a:ext uri="{FF2B5EF4-FFF2-40B4-BE49-F238E27FC236}">
              <a16:creationId xmlns:a16="http://schemas.microsoft.com/office/drawing/2014/main" id="{00000000-0008-0000-0900-000002000000}"/>
            </a:ext>
          </a:extLst>
        </xdr:cNvPr>
        <xdr:cNvSpPr txBox="1"/>
      </xdr:nvSpPr>
      <xdr:spPr>
        <a:xfrm>
          <a:off x="50800" y="10731500"/>
          <a:ext cx="13550900" cy="2997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28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50800</xdr:colOff>
      <xdr:row>28</xdr:row>
      <xdr:rowOff>177800</xdr:rowOff>
    </xdr:from>
    <xdr:to>
      <xdr:col>10</xdr:col>
      <xdr:colOff>0</xdr:colOff>
      <xdr:row>52</xdr:row>
      <xdr:rowOff>165100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0800" y="9804400"/>
          <a:ext cx="13436600" cy="41783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36</xdr:row>
      <xdr:rowOff>0</xdr:rowOff>
    </xdr:from>
    <xdr:to>
      <xdr:col>9</xdr:col>
      <xdr:colOff>3644900</xdr:colOff>
      <xdr:row>51</xdr:row>
      <xdr:rowOff>139700</xdr:rowOff>
    </xdr:to>
    <xdr:sp macro="" textlink="" fLocksText="0">
      <xdr:nvSpPr>
        <xdr:cNvPr id="2" name="TextBox 1">
          <a:extLst>
            <a:ext uri="{FF2B5EF4-FFF2-40B4-BE49-F238E27FC236}">
              <a16:creationId xmlns:a16="http://schemas.microsoft.com/office/drawing/2014/main" id="{00000000-0008-0000-0B00-000002000000}"/>
            </a:ext>
          </a:extLst>
        </xdr:cNvPr>
        <xdr:cNvSpPr txBox="1"/>
      </xdr:nvSpPr>
      <xdr:spPr>
        <a:xfrm>
          <a:off x="38100" y="12446000"/>
          <a:ext cx="13525500" cy="29972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arkende-my.sharepoint.com/Volumes/JCD/EPA/ESPA%202015/ESPA%20checklist%201v23%20unprotect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ert"/>
      <sheetName val="General Info"/>
      <sheetName val="Evaluation"/>
      <sheetName val="1. Mandatory Conditions"/>
      <sheetName val="2. Lighting"/>
      <sheetName val="3. Entry Exit"/>
      <sheetName val="4. Parking Area"/>
      <sheetName val="5. Ramps"/>
      <sheetName val="6. Pedestrian Access"/>
      <sheetName val="7. Security equipment"/>
      <sheetName val="8. Wayfinding"/>
      <sheetName val="9. Comfort"/>
      <sheetName val="10. Energy Environment"/>
      <sheetName val="Minus"/>
      <sheetName val="Bonus"/>
      <sheetName val="Gold Award"/>
      <sheetName val="Languages"/>
      <sheetName val="Options"/>
      <sheetName val="Tags"/>
      <sheetName val="Help"/>
      <sheetName val="Languages Available"/>
      <sheetName val="Aux"/>
      <sheetName val="Translations"/>
      <sheetName val="Languages (2)"/>
      <sheetName val="Options (2)"/>
      <sheetName val="Tags (2)"/>
      <sheetName val="Welcome Sheet"/>
      <sheetName val="Translation Sheet"/>
      <sheetName val="Unplugged Translation Sheet"/>
    </sheetNames>
    <sheetDataSet>
      <sheetData sheetId="0"/>
      <sheetData sheetId="1"/>
      <sheetData sheetId="2"/>
      <sheetData sheetId="3"/>
      <sheetData sheetId="4"/>
      <sheetData sheetId="5"/>
      <sheetData sheetId="6"/>
      <sheetData sheetId="7">
        <row r="13">
          <cell r="C13"/>
        </row>
      </sheetData>
      <sheetData sheetId="8"/>
      <sheetData sheetId="9"/>
      <sheetData sheetId="10"/>
      <sheetData sheetId="11"/>
      <sheetData sheetId="12"/>
      <sheetData sheetId="13"/>
      <sheetData sheetId="14"/>
      <sheetData sheetId="15"/>
      <sheetData sheetId="16"/>
      <sheetData sheetId="17">
        <row r="23">
          <cell r="B23" t="str">
            <v>Yes</v>
          </cell>
        </row>
      </sheetData>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66:I72" totalsRowShown="0" headerRowDxfId="80" dataDxfId="79">
  <autoFilter ref="F66:I72" xr:uid="{00000000-0009-0000-0100-000001000000}"/>
  <tableColumns count="4">
    <tableColumn id="1" xr3:uid="{00000000-0010-0000-0000-000001000000}" name="Opção" dataDxfId="78"/>
    <tableColumn id="2" xr3:uid="{00000000-0010-0000-0000-000002000000}" name="76-90" dataDxfId="77"/>
    <tableColumn id="3" xr3:uid="{00000000-0010-0000-0000-000003000000}" name="45-75" dataDxfId="76"/>
    <tableColumn id="4" xr3:uid="{00000000-0010-0000-0000-000004000000}" name="Column2" dataDxfId="7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dimension ref="A1:K24"/>
  <sheetViews>
    <sheetView workbookViewId="0">
      <selection sqref="A1:K24"/>
    </sheetView>
  </sheetViews>
  <sheetFormatPr baseColWidth="10" defaultColWidth="0" defaultRowHeight="14.5" zeroHeight="1" x14ac:dyDescent="0.35"/>
  <cols>
    <col min="1" max="11" width="10.81640625" customWidth="1"/>
    <col min="12" max="16384" width="10.81640625" hidden="1"/>
  </cols>
  <sheetData>
    <row r="1" spans="1:11" x14ac:dyDescent="0.35">
      <c r="A1" s="596" t="str">
        <f ca="1">Tags!B72</f>
        <v>Das ESPA Arbeitsblatt verwendet Macros. Bitte das Arbeitsblatt schließen, Macros zulassen und neu anschließend erneut öffnen.</v>
      </c>
      <c r="B1" s="596"/>
      <c r="C1" s="596"/>
      <c r="D1" s="596"/>
      <c r="E1" s="596"/>
      <c r="F1" s="596"/>
      <c r="G1" s="596"/>
      <c r="H1" s="596"/>
      <c r="I1" s="596"/>
      <c r="J1" s="596"/>
      <c r="K1" s="596"/>
    </row>
    <row r="2" spans="1:11" x14ac:dyDescent="0.35">
      <c r="A2" s="596"/>
      <c r="B2" s="596"/>
      <c r="C2" s="596"/>
      <c r="D2" s="596"/>
      <c r="E2" s="596"/>
      <c r="F2" s="596"/>
      <c r="G2" s="596"/>
      <c r="H2" s="596"/>
      <c r="I2" s="596"/>
      <c r="J2" s="596"/>
      <c r="K2" s="596"/>
    </row>
    <row r="3" spans="1:11" x14ac:dyDescent="0.35">
      <c r="A3" s="596"/>
      <c r="B3" s="596"/>
      <c r="C3" s="596"/>
      <c r="D3" s="596"/>
      <c r="E3" s="596"/>
      <c r="F3" s="596"/>
      <c r="G3" s="596"/>
      <c r="H3" s="596"/>
      <c r="I3" s="596"/>
      <c r="J3" s="596"/>
      <c r="K3" s="596"/>
    </row>
    <row r="4" spans="1:11" x14ac:dyDescent="0.35">
      <c r="A4" s="596"/>
      <c r="B4" s="596"/>
      <c r="C4" s="596"/>
      <c r="D4" s="596"/>
      <c r="E4" s="596"/>
      <c r="F4" s="596"/>
      <c r="G4" s="596"/>
      <c r="H4" s="596"/>
      <c r="I4" s="596"/>
      <c r="J4" s="596"/>
      <c r="K4" s="596"/>
    </row>
    <row r="5" spans="1:11" x14ac:dyDescent="0.35">
      <c r="A5" s="596"/>
      <c r="B5" s="596"/>
      <c r="C5" s="596"/>
      <c r="D5" s="596"/>
      <c r="E5" s="596"/>
      <c r="F5" s="596"/>
      <c r="G5" s="596"/>
      <c r="H5" s="596"/>
      <c r="I5" s="596"/>
      <c r="J5" s="596"/>
      <c r="K5" s="596"/>
    </row>
    <row r="6" spans="1:11" x14ac:dyDescent="0.35">
      <c r="A6" s="596"/>
      <c r="B6" s="596"/>
      <c r="C6" s="596"/>
      <c r="D6" s="596"/>
      <c r="E6" s="596"/>
      <c r="F6" s="596"/>
      <c r="G6" s="596"/>
      <c r="H6" s="596"/>
      <c r="I6" s="596"/>
      <c r="J6" s="596"/>
      <c r="K6" s="596"/>
    </row>
    <row r="7" spans="1:11" x14ac:dyDescent="0.35">
      <c r="A7" s="596"/>
      <c r="B7" s="596"/>
      <c r="C7" s="596"/>
      <c r="D7" s="596"/>
      <c r="E7" s="596"/>
      <c r="F7" s="596"/>
      <c r="G7" s="596"/>
      <c r="H7" s="596"/>
      <c r="I7" s="596"/>
      <c r="J7" s="596"/>
      <c r="K7" s="596"/>
    </row>
    <row r="8" spans="1:11" x14ac:dyDescent="0.35">
      <c r="A8" s="596"/>
      <c r="B8" s="596"/>
      <c r="C8" s="596"/>
      <c r="D8" s="596"/>
      <c r="E8" s="596"/>
      <c r="F8" s="596"/>
      <c r="G8" s="596"/>
      <c r="H8" s="596"/>
      <c r="I8" s="596"/>
      <c r="J8" s="596"/>
      <c r="K8" s="596"/>
    </row>
    <row r="9" spans="1:11" x14ac:dyDescent="0.35">
      <c r="A9" s="596"/>
      <c r="B9" s="596"/>
      <c r="C9" s="596"/>
      <c r="D9" s="596"/>
      <c r="E9" s="596"/>
      <c r="F9" s="596"/>
      <c r="G9" s="596"/>
      <c r="H9" s="596"/>
      <c r="I9" s="596"/>
      <c r="J9" s="596"/>
      <c r="K9" s="596"/>
    </row>
    <row r="10" spans="1:11" x14ac:dyDescent="0.35">
      <c r="A10" s="596"/>
      <c r="B10" s="596"/>
      <c r="C10" s="596"/>
      <c r="D10" s="596"/>
      <c r="E10" s="596"/>
      <c r="F10" s="596"/>
      <c r="G10" s="596"/>
      <c r="H10" s="596"/>
      <c r="I10" s="596"/>
      <c r="J10" s="596"/>
      <c r="K10" s="596"/>
    </row>
    <row r="11" spans="1:11" x14ac:dyDescent="0.35">
      <c r="A11" s="596"/>
      <c r="B11" s="596"/>
      <c r="C11" s="596"/>
      <c r="D11" s="596"/>
      <c r="E11" s="596"/>
      <c r="F11" s="596"/>
      <c r="G11" s="596"/>
      <c r="H11" s="596"/>
      <c r="I11" s="596"/>
      <c r="J11" s="596"/>
      <c r="K11" s="596"/>
    </row>
    <row r="12" spans="1:11" x14ac:dyDescent="0.35">
      <c r="A12" s="596"/>
      <c r="B12" s="596"/>
      <c r="C12" s="596"/>
      <c r="D12" s="596"/>
      <c r="E12" s="596"/>
      <c r="F12" s="596"/>
      <c r="G12" s="596"/>
      <c r="H12" s="596"/>
      <c r="I12" s="596"/>
      <c r="J12" s="596"/>
      <c r="K12" s="596"/>
    </row>
    <row r="13" spans="1:11" x14ac:dyDescent="0.35">
      <c r="A13" s="596"/>
      <c r="B13" s="596"/>
      <c r="C13" s="596"/>
      <c r="D13" s="596"/>
      <c r="E13" s="596"/>
      <c r="F13" s="596"/>
      <c r="G13" s="596"/>
      <c r="H13" s="596"/>
      <c r="I13" s="596"/>
      <c r="J13" s="596"/>
      <c r="K13" s="596"/>
    </row>
    <row r="14" spans="1:11" x14ac:dyDescent="0.35">
      <c r="A14" s="596"/>
      <c r="B14" s="596"/>
      <c r="C14" s="596"/>
      <c r="D14" s="596"/>
      <c r="E14" s="596"/>
      <c r="F14" s="596"/>
      <c r="G14" s="596"/>
      <c r="H14" s="596"/>
      <c r="I14" s="596"/>
      <c r="J14" s="596"/>
      <c r="K14" s="596"/>
    </row>
    <row r="15" spans="1:11" x14ac:dyDescent="0.35">
      <c r="A15" s="596"/>
      <c r="B15" s="596"/>
      <c r="C15" s="596"/>
      <c r="D15" s="596"/>
      <c r="E15" s="596"/>
      <c r="F15" s="596"/>
      <c r="G15" s="596"/>
      <c r="H15" s="596"/>
      <c r="I15" s="596"/>
      <c r="J15" s="596"/>
      <c r="K15" s="596"/>
    </row>
    <row r="16" spans="1:11" x14ac:dyDescent="0.35">
      <c r="A16" s="596"/>
      <c r="B16" s="596"/>
      <c r="C16" s="596"/>
      <c r="D16" s="596"/>
      <c r="E16" s="596"/>
      <c r="F16" s="596"/>
      <c r="G16" s="596"/>
      <c r="H16" s="596"/>
      <c r="I16" s="596"/>
      <c r="J16" s="596"/>
      <c r="K16" s="596"/>
    </row>
    <row r="17" spans="1:11" x14ac:dyDescent="0.35">
      <c r="A17" s="596"/>
      <c r="B17" s="596"/>
      <c r="C17" s="596"/>
      <c r="D17" s="596"/>
      <c r="E17" s="596"/>
      <c r="F17" s="596"/>
      <c r="G17" s="596"/>
      <c r="H17" s="596"/>
      <c r="I17" s="596"/>
      <c r="J17" s="596"/>
      <c r="K17" s="596"/>
    </row>
    <row r="18" spans="1:11" x14ac:dyDescent="0.35">
      <c r="A18" s="596"/>
      <c r="B18" s="596"/>
      <c r="C18" s="596"/>
      <c r="D18" s="596"/>
      <c r="E18" s="596"/>
      <c r="F18" s="596"/>
      <c r="G18" s="596"/>
      <c r="H18" s="596"/>
      <c r="I18" s="596"/>
      <c r="J18" s="596"/>
      <c r="K18" s="596"/>
    </row>
    <row r="19" spans="1:11" x14ac:dyDescent="0.35">
      <c r="A19" s="596"/>
      <c r="B19" s="596"/>
      <c r="C19" s="596"/>
      <c r="D19" s="596"/>
      <c r="E19" s="596"/>
      <c r="F19" s="596"/>
      <c r="G19" s="596"/>
      <c r="H19" s="596"/>
      <c r="I19" s="596"/>
      <c r="J19" s="596"/>
      <c r="K19" s="596"/>
    </row>
    <row r="20" spans="1:11" x14ac:dyDescent="0.35">
      <c r="A20" s="596"/>
      <c r="B20" s="596"/>
      <c r="C20" s="596"/>
      <c r="D20" s="596"/>
      <c r="E20" s="596"/>
      <c r="F20" s="596"/>
      <c r="G20" s="596"/>
      <c r="H20" s="596"/>
      <c r="I20" s="596"/>
      <c r="J20" s="596"/>
      <c r="K20" s="596"/>
    </row>
    <row r="21" spans="1:11" x14ac:dyDescent="0.35">
      <c r="A21" s="596"/>
      <c r="B21" s="596"/>
      <c r="C21" s="596"/>
      <c r="D21" s="596"/>
      <c r="E21" s="596"/>
      <c r="F21" s="596"/>
      <c r="G21" s="596"/>
      <c r="H21" s="596"/>
      <c r="I21" s="596"/>
      <c r="J21" s="596"/>
      <c r="K21" s="596"/>
    </row>
    <row r="22" spans="1:11" x14ac:dyDescent="0.35">
      <c r="A22" s="596"/>
      <c r="B22" s="596"/>
      <c r="C22" s="596"/>
      <c r="D22" s="596"/>
      <c r="E22" s="596"/>
      <c r="F22" s="596"/>
      <c r="G22" s="596"/>
      <c r="H22" s="596"/>
      <c r="I22" s="596"/>
      <c r="J22" s="596"/>
      <c r="K22" s="596"/>
    </row>
    <row r="23" spans="1:11" x14ac:dyDescent="0.35">
      <c r="A23" s="596"/>
      <c r="B23" s="596"/>
      <c r="C23" s="596"/>
      <c r="D23" s="596"/>
      <c r="E23" s="596"/>
      <c r="F23" s="596"/>
      <c r="G23" s="596"/>
      <c r="H23" s="596"/>
      <c r="I23" s="596"/>
      <c r="J23" s="596"/>
      <c r="K23" s="596"/>
    </row>
    <row r="24" spans="1:11" x14ac:dyDescent="0.35">
      <c r="A24" s="596"/>
      <c r="B24" s="596"/>
      <c r="C24" s="596"/>
      <c r="D24" s="596"/>
      <c r="E24" s="596"/>
      <c r="F24" s="596"/>
      <c r="G24" s="596"/>
      <c r="H24" s="596"/>
      <c r="I24" s="596"/>
      <c r="J24" s="596"/>
      <c r="K24" s="596"/>
    </row>
  </sheetData>
  <sheetProtection formatRows="0" selectLockedCells="1"/>
  <mergeCells count="1">
    <mergeCell ref="A1:K24"/>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60"/>
  <sheetViews>
    <sheetView showGridLines="0" topLeftCell="A4" zoomScaleNormal="100" workbookViewId="0">
      <selection activeCell="E4" sqref="E4"/>
    </sheetView>
  </sheetViews>
  <sheetFormatPr baseColWidth="10" defaultColWidth="0" defaultRowHeight="14.5" zeroHeight="1" x14ac:dyDescent="0.35"/>
  <cols>
    <col min="1" max="1" width="4.81640625" style="4" customWidth="1"/>
    <col min="2" max="2" width="8.26953125" style="4" hidden="1" customWidth="1"/>
    <col min="3" max="3" width="4.81640625" style="4" hidden="1" customWidth="1"/>
    <col min="4" max="4" width="59.81640625"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6</v>
      </c>
      <c r="B1" s="482">
        <v>6</v>
      </c>
      <c r="C1" s="482"/>
      <c r="D1" s="466" t="str">
        <f ca="1">VLOOKUP(A1,Questions!$D$4:$F$418,3,FALSE)</f>
        <v>Fußgängerzugang</v>
      </c>
      <c r="E1" s="483"/>
      <c r="F1" s="484"/>
      <c r="G1" s="485" t="str">
        <f ca="1">IF(E36&gt;0,Tags!B21,Tags!B20)</f>
        <v>unvollständig</v>
      </c>
      <c r="H1" s="486" t="s">
        <v>485</v>
      </c>
      <c r="I1" s="487">
        <f>I35*I36</f>
        <v>0</v>
      </c>
      <c r="J1" s="488">
        <f>I35</f>
        <v>0</v>
      </c>
    </row>
    <row r="2" spans="1:10" s="13" customFormat="1" ht="13" customHeight="1" x14ac:dyDescent="0.35"/>
    <row r="3" spans="1:10" ht="42" x14ac:dyDescent="0.35">
      <c r="A3" s="29">
        <v>6</v>
      </c>
      <c r="B3" s="29">
        <v>3</v>
      </c>
      <c r="C3" s="344"/>
      <c r="D3" s="347" t="str">
        <f ca="1">Tags!B55</f>
        <v>Positionsliste</v>
      </c>
      <c r="E3" s="345" t="str">
        <f ca="1">Tags!B56</f>
        <v>Messwerte</v>
      </c>
      <c r="F3" s="6" t="str">
        <f ca="1">G34</f>
        <v>Maximale Punktzahl</v>
      </c>
      <c r="G3" s="6" t="str">
        <f ca="1">G33</f>
        <v>Punktzahl</v>
      </c>
      <c r="H3" s="327" t="str">
        <f ca="1">Tags!B57</f>
        <v>maximaler Beitrag zum Endergebnis</v>
      </c>
      <c r="I3" s="327" t="str">
        <f ca="1">Tags!B58</f>
        <v>Beitrag zum Endergebnis</v>
      </c>
      <c r="J3" s="327" t="str">
        <f ca="1">Tags!B59</f>
        <v>Anmerkungen</v>
      </c>
    </row>
    <row r="4" spans="1:10" s="13" customFormat="1" ht="31" x14ac:dyDescent="0.35">
      <c r="B4" s="233" t="s">
        <v>2646</v>
      </c>
      <c r="C4" s="264"/>
      <c r="D4" s="346" t="str">
        <f ca="1">VLOOKUP(B4,Questions!$D$4:$F$418,3,FALSE)</f>
        <v>Eingeschossige und ebenerdige Parkeinrichtung? (kein unüberdachter Parkplatz)</v>
      </c>
      <c r="E4" s="67"/>
      <c r="F4" s="12">
        <v>25</v>
      </c>
      <c r="G4" s="12" t="str">
        <f>IF(COUNTIF(Question_YN_Yes,slcp)&gt;0,25,IF(COUNTIF(Question_YN_No,slcp)&gt;0,0,"NA"))</f>
        <v>NA</v>
      </c>
      <c r="H4" s="37">
        <f>F4/$I$34*$I$36</f>
        <v>9.3023255813953494</v>
      </c>
      <c r="I4" s="37">
        <f>IF(ISNUMBER(G4),G4/$I$34*$I$36,0)</f>
        <v>0</v>
      </c>
      <c r="J4" s="98"/>
    </row>
    <row r="5" spans="1:10" s="13" customFormat="1" ht="15.5" x14ac:dyDescent="0.35">
      <c r="B5" s="233" t="s">
        <v>2647</v>
      </c>
      <c r="C5" s="263"/>
      <c r="D5" s="262" t="str">
        <f ca="1">VLOOKUP(B5,Questions!$D$4:$F$418,3,FALSE)</f>
        <v>Führen Aufzüge auf das Straßenniveau?</v>
      </c>
      <c r="E5" s="67"/>
      <c r="F5" s="12"/>
      <c r="G5" s="12"/>
      <c r="H5" s="37"/>
      <c r="I5" s="37"/>
      <c r="J5" s="98"/>
    </row>
    <row r="6" spans="1:10" ht="31" x14ac:dyDescent="0.35">
      <c r="B6" s="233" t="s">
        <v>2648</v>
      </c>
      <c r="C6" s="263"/>
      <c r="D6" s="262" t="str">
        <f ca="1">VLOOKUP(B6,Questions!$D$4:$F$418,3,FALSE)</f>
        <v>Sind die Fahrstühle das primäre Etagenverbindung? (Treppen nur sekundär oder als Fluchtwege)</v>
      </c>
      <c r="E6" s="69"/>
      <c r="F6" s="12"/>
      <c r="G6" s="12"/>
      <c r="H6" s="37"/>
      <c r="I6" s="37">
        <f t="shared" ref="I6:I13" si="0">IF(ISNUMBER(G6),G6/$I$34*$I$36,0)</f>
        <v>0</v>
      </c>
      <c r="J6" s="98"/>
    </row>
    <row r="7" spans="1:10" s="13" customFormat="1" ht="62.5" x14ac:dyDescent="0.35">
      <c r="A7" s="99" t="s">
        <v>79</v>
      </c>
      <c r="B7" s="233" t="s">
        <v>79</v>
      </c>
      <c r="C7" s="99"/>
      <c r="D7" s="100" t="str">
        <f ca="1">VLOOKUP(B7,Questions!$D$4:$F$418,3,FALSE)</f>
        <v>Kopffreiheit für Fußgänger - außer unter Türen
• &lt; 2,00m = 0
• 2,00m - 2,10m = 1
• 2,10m - 2,20m = 2
• &gt; 2,20m = 3</v>
      </c>
      <c r="E7" s="63"/>
      <c r="F7" s="12">
        <v>3</v>
      </c>
      <c r="G7" s="587" t="str">
        <f>IF(COUNTIF(Q_6_1_Less_Than_2,E7)&gt;0,0,(IF(COUNTIF(Q_6_1_2_to_210,E7)&gt;0,1,(IF(COUNTIF(Q_6_1_210_to_220,E7)&gt;0,2,(IF(COUNTIF(Q_6_1_more_than_220,E7)&gt;0,3,"NA")))))))</f>
        <v>NA</v>
      </c>
      <c r="H7" s="37">
        <f t="shared" ref="H7:H13" si="1">F7/$I$34*$I$36</f>
        <v>1.1162790697674418</v>
      </c>
      <c r="I7" s="37">
        <f t="shared" si="0"/>
        <v>0</v>
      </c>
      <c r="J7" s="98"/>
    </row>
    <row r="8" spans="1:10" s="13" customFormat="1" ht="25" x14ac:dyDescent="0.35">
      <c r="A8" s="99" t="s">
        <v>80</v>
      </c>
      <c r="B8" s="233" t="s">
        <v>80</v>
      </c>
      <c r="C8" s="99"/>
      <c r="D8" s="100" t="str">
        <f ca="1">VLOOKUP(B8,Questions!$D$4:$F$418,3,FALSE)</f>
        <v>Separat ausgewiesene Fußgängerwege (z.B. erhöht, Zebrastreifen, farbige Kennzeichnung) (ja = 2; nein = 0)</v>
      </c>
      <c r="E8" s="63"/>
      <c r="F8" s="12">
        <v>2</v>
      </c>
      <c r="G8" s="586" t="str">
        <f>IF(COUNTIF(Question_YN_Yes,E8)&gt;0,2,IF(COUNTIF(Question_YN_No,E8)&gt;0,0,"NA"))</f>
        <v>NA</v>
      </c>
      <c r="H8" s="37">
        <f t="shared" si="1"/>
        <v>0.7441860465116279</v>
      </c>
      <c r="I8" s="37">
        <f t="shared" si="0"/>
        <v>0</v>
      </c>
      <c r="J8" s="98"/>
    </row>
    <row r="9" spans="1:10" s="13" customFormat="1" ht="25" x14ac:dyDescent="0.35">
      <c r="A9" s="99" t="s">
        <v>81</v>
      </c>
      <c r="B9" s="233" t="s">
        <v>81</v>
      </c>
      <c r="C9" s="99"/>
      <c r="D9" s="100" t="str">
        <f ca="1">VLOOKUP(B9,Questions!$D$4:$F$418,3,FALSE)</f>
        <v>Sind die Zugangstüren einfach zu bedienen? 
(ja, automatisch oder offen = 4; einfach zu öffnen = 2; nein = 0)</v>
      </c>
      <c r="E9" s="63"/>
      <c r="F9" s="12">
        <v>4</v>
      </c>
      <c r="G9" s="586" t="str">
        <f>IF(COUNTIF(Q_6_3_Yes_Automatic,E9)&gt;0,4,(IF(COUNTIF(Q_6_3_Easy_to_Open,E9)&gt;0,2,(IF(COUNTIF(Q_6_3_No,E9)&gt;0,1,"NA")))))</f>
        <v>NA</v>
      </c>
      <c r="H9" s="37">
        <f t="shared" si="1"/>
        <v>1.4883720930232558</v>
      </c>
      <c r="I9" s="37">
        <f t="shared" si="0"/>
        <v>0</v>
      </c>
      <c r="J9" s="98"/>
    </row>
    <row r="10" spans="1:10" s="13" customFormat="1" ht="25" x14ac:dyDescent="0.35">
      <c r="A10" s="99" t="s">
        <v>148</v>
      </c>
      <c r="B10" s="233" t="s">
        <v>148</v>
      </c>
      <c r="C10" s="99"/>
      <c r="D10" s="100" t="str">
        <f ca="1">VLOOKUP(B10,Questions!$D$4:$F$418,3,FALSE)</f>
        <v>Zutrittskontrolle per Ticket / Medium (ja = 1; nein = 0)</v>
      </c>
      <c r="E10" s="63"/>
      <c r="F10" s="12">
        <v>1</v>
      </c>
      <c r="G10" s="586" t="str">
        <f>IF(COUNTIF(Question_YN_Yes,E10)&gt;0,1,IF(COUNTIF(Question_YN_No,E10)&gt;0,0,"NA"))</f>
        <v>NA</v>
      </c>
      <c r="H10" s="37">
        <f t="shared" si="1"/>
        <v>0.37209302325581395</v>
      </c>
      <c r="I10" s="37">
        <f t="shared" si="0"/>
        <v>0</v>
      </c>
      <c r="J10" s="98"/>
    </row>
    <row r="11" spans="1:10" s="13" customFormat="1" ht="25" x14ac:dyDescent="0.35">
      <c r="A11" s="99" t="s">
        <v>1785</v>
      </c>
      <c r="B11" s="233" t="s">
        <v>1785</v>
      </c>
      <c r="C11" s="99"/>
      <c r="D11" s="100" t="str">
        <f ca="1">VLOOKUP(B11,Questions!$D$4:$F$418,3,FALSE)</f>
        <v>Anzahl der Aufzüge auf Straßen-Niveau:
(1 Aufzug = 1; 2 oder mehr Aufzüge = 5)</v>
      </c>
      <c r="E11" s="63"/>
      <c r="F11" s="12">
        <v>5</v>
      </c>
      <c r="G11" s="586" t="str">
        <f>IF(OR(G4=25,COUNTIF(Question_YN_No,essl)&gt;0),0,IF(COUNTIF(Q_6_5_One_Elevator,E11)&gt;0,1,IF(COUNTIF(Q_6_5_More_Elevators,E11)&gt;0,5,"NA")))</f>
        <v>NA</v>
      </c>
      <c r="H11" s="37">
        <f t="shared" si="1"/>
        <v>1.8604651162790697</v>
      </c>
      <c r="I11" s="37">
        <f t="shared" si="0"/>
        <v>0</v>
      </c>
      <c r="J11" s="98"/>
    </row>
    <row r="12" spans="1:10" s="13" customFormat="1" ht="25" x14ac:dyDescent="0.35">
      <c r="A12" s="99" t="s">
        <v>1786</v>
      </c>
      <c r="B12" s="233" t="s">
        <v>1786</v>
      </c>
      <c r="C12" s="99"/>
      <c r="D12" s="100" t="str">
        <f ca="1">VLOOKUP(B12,Questions!$D$4:$F$418,3,FALSE)</f>
        <v>Größe der Aufzüge:
(Mehr als 8 Personen = 3; 4 - 8 Personen = 1; weniger als 4 = 0)</v>
      </c>
      <c r="E12" s="63"/>
      <c r="F12" s="12">
        <v>3</v>
      </c>
      <c r="G12" s="586" t="str">
        <f>IF(OR(G4=25,COUNTIF(Question_YN_No,essl)&gt;0),0,IF(COUNTIF(Q_6_6_More_Then_8,E12)&gt;0,3,(IF(COUNTIF(Q_6_6_4_to_8,E12)&gt;0,1,(IF(COUNTIF(Q_6_6_Less_Then_4,E12)&gt;0,1,"NA"))))))</f>
        <v>NA</v>
      </c>
      <c r="H12" s="37">
        <f t="shared" si="1"/>
        <v>1.1162790697674418</v>
      </c>
      <c r="I12" s="37">
        <f t="shared" si="0"/>
        <v>0</v>
      </c>
      <c r="J12" s="98"/>
    </row>
    <row r="13" spans="1:10" s="13" customFormat="1" ht="25" x14ac:dyDescent="0.35">
      <c r="A13" s="99" t="s">
        <v>490</v>
      </c>
      <c r="B13" s="233" t="s">
        <v>490</v>
      </c>
      <c r="C13" s="99"/>
      <c r="D13" s="100" t="str">
        <f ca="1">VLOOKUP(B13,Questions!$D$4:$F$418,3,FALSE)</f>
        <v>Sichtverbindung zwischen dem Aufzug und Vorraum/Parkebene
(keine Sichtverbindung = 0; verglaste Türen / Wände = 3; kein Aufzug = 0)</v>
      </c>
      <c r="E13" s="63"/>
      <c r="F13" s="12">
        <v>3</v>
      </c>
      <c r="G13" s="586" t="str">
        <f>IF(G4=25,0,IF(COUNTIF(Q_6_7_No_Visibility,E13)&gt;0,0,(IF(COUNTIF(Q_6_7_Glazed_Doors,E13)&gt;0,3,(IF(COUNTIF(Q_6_7_No_Elevator,E13)&gt;0,0,"NA"))))))</f>
        <v>NA</v>
      </c>
      <c r="H13" s="37">
        <f t="shared" si="1"/>
        <v>1.1162790697674418</v>
      </c>
      <c r="I13" s="37">
        <f t="shared" si="0"/>
        <v>0</v>
      </c>
      <c r="J13" s="98"/>
    </row>
    <row r="14" spans="1:10" s="13" customFormat="1" x14ac:dyDescent="0.35">
      <c r="A14" s="791" t="s">
        <v>489</v>
      </c>
      <c r="B14" s="233" t="s">
        <v>2649</v>
      </c>
      <c r="C14" s="217"/>
      <c r="D14" s="814" t="str">
        <f ca="1">VLOOKUP(B14,Questions!$D$4:$F$418,3,FALSE)</f>
        <v>Anzeige der Parkebenen:</v>
      </c>
      <c r="E14" s="815"/>
      <c r="F14" s="815"/>
      <c r="G14" s="816"/>
      <c r="H14" s="808">
        <f>F15/$I$34*$I$36</f>
        <v>0.7441860465116279</v>
      </c>
      <c r="I14" s="802">
        <f>IF(ISNUMBER(SUM(G15:G16)),SUM(G15:G16)/$I$34*$I$36,0)</f>
        <v>0</v>
      </c>
      <c r="J14" s="805"/>
    </row>
    <row r="15" spans="1:10" s="13" customFormat="1" x14ac:dyDescent="0.35">
      <c r="A15" s="792"/>
      <c r="B15" s="233" t="s">
        <v>2650</v>
      </c>
      <c r="C15" s="218"/>
      <c r="D15" s="101" t="str">
        <f ca="1">VLOOKUP(B15,Questions!$D$4:$F$418,3,FALSE)</f>
        <v xml:space="preserve">im Aufzug: </v>
      </c>
      <c r="E15" s="65"/>
      <c r="F15" s="813">
        <v>2</v>
      </c>
      <c r="G15" s="18" t="str">
        <f>IF(G4=25,0,IF(COUNTIF(Question_YN_Yes,E15)&gt;0,1,IF(COUNTIF(Question_YN_No,E15)&gt;0,0,"NA")))</f>
        <v>NA</v>
      </c>
      <c r="H15" s="809"/>
      <c r="I15" s="803"/>
      <c r="J15" s="806"/>
    </row>
    <row r="16" spans="1:10" s="13" customFormat="1" x14ac:dyDescent="0.35">
      <c r="A16" s="793"/>
      <c r="B16" s="233" t="s">
        <v>2651</v>
      </c>
      <c r="C16" s="259"/>
      <c r="D16" s="103" t="str">
        <f ca="1">VLOOKUP(B16,Questions!$D$4:$F$418,3,FALSE)</f>
        <v>im Vorraum zum Aufzug:</v>
      </c>
      <c r="E16" s="66"/>
      <c r="F16" s="796"/>
      <c r="G16" s="19" t="str">
        <f>IF(G4=25,0,IF(COUNTIF(Question_YN_Yes,E16)&gt;0,1,IF(COUNTIF(Question_YN_No,E16)&gt;0,0,"NA")))</f>
        <v>NA</v>
      </c>
      <c r="H16" s="810"/>
      <c r="I16" s="804"/>
      <c r="J16" s="807"/>
    </row>
    <row r="17" spans="1:10" s="13" customFormat="1" ht="25" x14ac:dyDescent="0.35">
      <c r="A17" s="99" t="s">
        <v>488</v>
      </c>
      <c r="B17" s="233" t="s">
        <v>488</v>
      </c>
      <c r="C17" s="99"/>
      <c r="D17" s="100" t="str">
        <f ca="1">VLOOKUP(B17,Questions!$D$4:$F$418,3,FALSE)</f>
        <v>Bedienelemente im Aufzug barrierefrei?
(ja = 1; nein = 0)</v>
      </c>
      <c r="E17" s="68"/>
      <c r="F17" s="12">
        <v>1</v>
      </c>
      <c r="G17" s="586" t="str">
        <f>IF(G4=25,0,IF(COUNTIF(Question_YN_Yes,E17)&gt;0,1,IF(COUNTIF(Question_YN_No,E17)&gt;0,0,"NA")))</f>
        <v>NA</v>
      </c>
      <c r="H17" s="37">
        <f>F17/$I$34*$I$36</f>
        <v>0.37209302325581395</v>
      </c>
      <c r="I17" s="37">
        <f>IF(ISNUMBER(G17),G17/$I$34*$I$36,0)</f>
        <v>0</v>
      </c>
      <c r="J17" s="98"/>
    </row>
    <row r="18" spans="1:10" x14ac:dyDescent="0.35">
      <c r="A18" s="817" t="s">
        <v>487</v>
      </c>
      <c r="B18" s="233" t="s">
        <v>2652</v>
      </c>
      <c r="C18" s="258"/>
      <c r="D18" s="814" t="str">
        <f ca="1">VLOOKUP(B18,Questions!$D$4:$F$418,3,FALSE)</f>
        <v>Verbindungstüren zum Parkbereich:</v>
      </c>
      <c r="E18" s="815"/>
      <c r="F18" s="815"/>
      <c r="G18" s="816"/>
      <c r="H18" s="734">
        <f>F19/$I$34*$I$36</f>
        <v>2.6046511627906979</v>
      </c>
      <c r="I18" s="734">
        <f>IF(ISNUMBER(SUM(G19:G21)),SUM(G19:G21)/$I$34*$I$36,0)</f>
        <v>0</v>
      </c>
      <c r="J18" s="811"/>
    </row>
    <row r="19" spans="1:10" x14ac:dyDescent="0.35">
      <c r="A19" s="818"/>
      <c r="B19" s="233" t="s">
        <v>2653</v>
      </c>
      <c r="C19" s="258"/>
      <c r="D19" s="90" t="str">
        <f ca="1">VLOOKUP(B19,Questions!$D$4:$F$418,3,FALSE)</f>
        <v>Lichte Breite (&lt; 90 cm =0; &gt;= 90 cm = 2)</v>
      </c>
      <c r="E19" s="424"/>
      <c r="F19" s="813">
        <v>7</v>
      </c>
      <c r="G19" s="426" t="str">
        <f>IF(G4=25,0,IF(COUNTIF(Q_6_10_1_lee_than_90,E19)&gt;0,0,IF(COUNTIF(Q_6_10_1_more_then_90,E19)&gt;0,2,"NA")))</f>
        <v>NA</v>
      </c>
      <c r="H19" s="738"/>
      <c r="I19" s="738"/>
      <c r="J19" s="812"/>
    </row>
    <row r="20" spans="1:10" x14ac:dyDescent="0.35">
      <c r="A20" s="818"/>
      <c r="B20" s="233" t="s">
        <v>2654</v>
      </c>
      <c r="C20" s="258"/>
      <c r="D20" s="90" t="str">
        <f ca="1">VLOOKUP(B20,Questions!$D$4:$F$418,3,FALSE)</f>
        <v>Fluchttüren, generell offen (ja = 2; nein = 0)</v>
      </c>
      <c r="E20" s="425"/>
      <c r="F20" s="795"/>
      <c r="G20" s="427" t="str">
        <f>IF(G4=25,0,IF(COUNTIF(Question_YN_Yes,E20)&gt;0,2,IF(COUNTIF(Question_YN_No,E20)&gt;0,0,"NA")))</f>
        <v>NA</v>
      </c>
      <c r="H20" s="738"/>
      <c r="I20" s="738"/>
      <c r="J20" s="812"/>
    </row>
    <row r="21" spans="1:10" x14ac:dyDescent="0.35">
      <c r="A21" s="819"/>
      <c r="B21" s="233" t="s">
        <v>2655</v>
      </c>
      <c r="C21" s="258"/>
      <c r="D21" s="274" t="str">
        <f ca="1">VLOOKUP(B21,Questions!$D$4:$F$418,3,FALSE)</f>
        <v>Sichtverbindung (Glastüren / -wände = 3; kein Glas = 0)</v>
      </c>
      <c r="E21" s="450"/>
      <c r="F21" s="795"/>
      <c r="G21" s="451" t="str">
        <f>IF(G4=25,0,IF(COUNTIF(Q_6_10_3_Glazed,E21)&gt;0,3,IF(COUNTIF(Q_6_10_3_No_Glass,E21)&gt;0,0,"NA")))</f>
        <v>NA</v>
      </c>
      <c r="H21" s="738"/>
      <c r="I21" s="738"/>
      <c r="J21" s="812"/>
    </row>
    <row r="22" spans="1:10" s="13" customFormat="1" x14ac:dyDescent="0.35">
      <c r="A22" s="791" t="s">
        <v>491</v>
      </c>
      <c r="B22" s="233" t="s">
        <v>2656</v>
      </c>
      <c r="C22" s="217"/>
      <c r="D22" s="829" t="str">
        <f ca="1">VLOOKUP(B22,Questions!$D$4:$F$418,3,FALSE)</f>
        <v>Treppenhäuser (Sichtbarkeit und Orientierung)</v>
      </c>
      <c r="E22" s="830"/>
      <c r="F22" s="830"/>
      <c r="G22" s="831"/>
      <c r="H22" s="808">
        <f>F23/$I$34*$I$36</f>
        <v>0.7441860465116279</v>
      </c>
      <c r="I22" s="802">
        <f>IF(ISNUMBER(SUM(G23:G24)),SUM(G23:G24)/$I$34*$I$36,0)</f>
        <v>0</v>
      </c>
      <c r="J22" s="805"/>
    </row>
    <row r="23" spans="1:10" s="13" customFormat="1" x14ac:dyDescent="0.35">
      <c r="A23" s="792"/>
      <c r="B23" s="233" t="s">
        <v>2657</v>
      </c>
      <c r="C23" s="218"/>
      <c r="D23" s="101" t="str">
        <f ca="1">VLOOKUP(B23,Questions!$D$4:$F$418,3,FALSE)</f>
        <v>Einfach Auffindbarkeit (ja = 1; nein = 0; irrelvant = 1)</v>
      </c>
      <c r="E23" s="65"/>
      <c r="F23" s="826">
        <v>2</v>
      </c>
      <c r="G23" s="15" t="str">
        <f>IF(OR(G4=25,COUNTIF(Question_YN_Yes,emvc)&gt;0),0,IF(COUNTIF(Question_YN_Yes,E23)&gt;0,1,(IF(COUNTIF(Question_YN_No,E23)&gt;0,0,(IF(COUNTIF(Question_Irrelevant,E23)&gt;0,1,"NA"))))))</f>
        <v>NA</v>
      </c>
      <c r="H23" s="809"/>
      <c r="I23" s="803"/>
      <c r="J23" s="806"/>
    </row>
    <row r="24" spans="1:10" s="13" customFormat="1" x14ac:dyDescent="0.35">
      <c r="A24" s="793"/>
      <c r="B24" s="233" t="s">
        <v>2658</v>
      </c>
      <c r="C24" s="259"/>
      <c r="D24" s="457" t="str">
        <f ca="1">VLOOKUP(B24,Questions!$D$4:$F$418,3,FALSE)</f>
        <v>Geschosskennzeichnung (ja = 1; nein = 0; unzutreffend = 1)</v>
      </c>
      <c r="E24" s="452"/>
      <c r="F24" s="828"/>
      <c r="G24" s="303" t="str">
        <f>IF(OR(G4=25,COUNTIF(Question_YN_Yes,emvc)&gt;0),0,IF(COUNTIF(Question_YN_Yes,E24)&gt;0,1,(IF(COUNTIF(Question_YN_No,E24)&gt;0,0,(IF(COUNTIF(Question_Irrelevant,E24)&gt;0,1,"NA"))))))</f>
        <v>NA</v>
      </c>
      <c r="H24" s="810"/>
      <c r="I24" s="804"/>
      <c r="J24" s="807"/>
    </row>
    <row r="25" spans="1:10" x14ac:dyDescent="0.35">
      <c r="A25" s="820" t="s">
        <v>492</v>
      </c>
      <c r="B25" s="233" t="s">
        <v>2659</v>
      </c>
      <c r="C25" s="453"/>
      <c r="D25" s="829" t="str">
        <f ca="1">VLOOKUP(B25,Questions!$D$4:$F$418,3,FALSE)</f>
        <v>Treppen (inkl. verbesserter Sichtbarkeit der Treppenstufen)</v>
      </c>
      <c r="E25" s="830"/>
      <c r="F25" s="830"/>
      <c r="G25" s="831"/>
      <c r="H25" s="753">
        <f>F26/$I$34*$I$36</f>
        <v>2.9767441860465116</v>
      </c>
      <c r="I25" s="753">
        <f>IF(ISNUMBER(SUM(G26:G29)),SUM(G26:G29)/$I$34*$I$36,0)</f>
        <v>0</v>
      </c>
      <c r="J25" s="823"/>
    </row>
    <row r="26" spans="1:10" x14ac:dyDescent="0.35">
      <c r="A26" s="821"/>
      <c r="B26" s="233" t="s">
        <v>2660</v>
      </c>
      <c r="C26" s="453"/>
      <c r="D26" s="447" t="str">
        <f ca="1">VLOOKUP(B26,Questions!$D$4:$F$418,3,FALSE)</f>
        <v>Breite (&lt; 1,5 m = 0; &gt; 1,5 m = 2)</v>
      </c>
      <c r="E26" s="424"/>
      <c r="F26" s="826">
        <v>8</v>
      </c>
      <c r="G26" s="427" t="str">
        <f>IF(OR(G4=25,COUNTIF(Question_YN_Yes,emvc)&gt;0),0,IF(COUNTIF(Q_6_12_1_less,E26)&gt;0,0,IF(COUNTIF(Q_6_12_1_more,E26)&gt;0,2,"NA")))</f>
        <v>NA</v>
      </c>
      <c r="H26" s="738"/>
      <c r="I26" s="738"/>
      <c r="J26" s="824"/>
    </row>
    <row r="27" spans="1:10" x14ac:dyDescent="0.35">
      <c r="A27" s="821"/>
      <c r="B27" s="233" t="s">
        <v>2661</v>
      </c>
      <c r="C27" s="453"/>
      <c r="D27" s="447" t="str">
        <f ca="1">VLOOKUP(B27,Questions!$D$4:$F$418,3,FALSE)</f>
        <v>Handläufe (keine = 0; einseitig = 1; beidseitig = 2)</v>
      </c>
      <c r="E27" s="425"/>
      <c r="F27" s="827"/>
      <c r="G27" s="427" t="str">
        <f>IF(OR(G4=25,COUNTIF(Question_YN_Yes,emvc)&gt;0),0,IF(COUNTIF(Q_6_12_2_No_handrail,E27)&gt;0,0,(IF(COUNTIF(Q_6_12_2_One_Side,E27)&gt;0,1,(IF(COUNTIF(Q_6_12_2_two_sides,E27)&gt;0,2,"NA"))))))</f>
        <v>NA</v>
      </c>
      <c r="H27" s="738"/>
      <c r="I27" s="738"/>
      <c r="J27" s="824"/>
    </row>
    <row r="28" spans="1:10" ht="25" x14ac:dyDescent="0.35">
      <c r="A28" s="821"/>
      <c r="B28" s="233" t="s">
        <v>2662</v>
      </c>
      <c r="C28" s="453"/>
      <c r="D28" s="447" t="str">
        <f ca="1">VLOOKUP(B28,Questions!$D$4:$F$418,3,FALSE)</f>
        <v>Erhöhte Sichtbarkeit der Treppenstufen für Personen mit eingeschränkter Sehkraft (ja = 2; nein = 0)</v>
      </c>
      <c r="E28" s="425"/>
      <c r="F28" s="827"/>
      <c r="G28" s="427" t="str">
        <f>IF(OR(G4=25,COUNTIF(Question_YN_Yes,emvc)&gt;0),0,IF(COUNTIF(Question_YN_Yes,E28)&gt;0,2,IF(COUNTIF(Question_YN_No,E28)&gt;0,0,"NA")))</f>
        <v>NA</v>
      </c>
      <c r="H28" s="738"/>
      <c r="I28" s="738"/>
      <c r="J28" s="824"/>
    </row>
    <row r="29" spans="1:10" x14ac:dyDescent="0.35">
      <c r="A29" s="822"/>
      <c r="B29" s="233" t="s">
        <v>2663</v>
      </c>
      <c r="C29" s="453"/>
      <c r="D29" s="448" t="str">
        <f ca="1">VLOOKUP(B29,Questions!$D$4:$F$418,3,FALSE)</f>
        <v>Rutschfeste Beschichtung/Oberfläche der Treppenstufen (ja = 2; nein = 0)</v>
      </c>
      <c r="E29" s="455"/>
      <c r="F29" s="828"/>
      <c r="G29" s="456" t="str">
        <f>IF(OR(G4=25,COUNTIF(Question_YN_Yes,emvc)&gt;0),0,IF(COUNTIF(Question_YN_Yes,E29)&gt;0,2,IF(COUNTIF(Question_YN_No,E29)&gt;0,0,"NA")))</f>
        <v>NA</v>
      </c>
      <c r="H29" s="754"/>
      <c r="I29" s="754"/>
      <c r="J29" s="825"/>
    </row>
    <row r="30" spans="1:10" s="13" customFormat="1" ht="25" x14ac:dyDescent="0.35">
      <c r="A30" s="99" t="s">
        <v>493</v>
      </c>
      <c r="B30" s="233" t="s">
        <v>493</v>
      </c>
      <c r="C30" s="99"/>
      <c r="D30" s="454" t="str">
        <f ca="1">VLOOKUP(B30,Questions!$D$4:$F$418,3,FALSE)</f>
        <v>Öffnungen in den Treppenhauswänden (Fenster / Gitter nach außen oder zu den Parkebenen = 2; nein = 0)</v>
      </c>
      <c r="E30" s="352"/>
      <c r="F30" s="402">
        <v>2</v>
      </c>
      <c r="G30" s="588" t="str">
        <f>IF(OR(G4=25,COUNTIF(Question_YN_Yes,emvc)&gt;0),0,IF(COUNTIF(Q_6_13_Window_Grill,E30)&gt;0,2,IF(COUNTIF(Q_6_13_None,E30)&gt;0,0,"NA")))</f>
        <v>NA</v>
      </c>
      <c r="H30" s="429">
        <f>F30/$I$34*$I$36</f>
        <v>0.7441860465116279</v>
      </c>
      <c r="I30" s="429">
        <f>IF(ISNUMBER(G30),G30/$I$34*$I$36,0)</f>
        <v>0</v>
      </c>
      <c r="J30" s="428"/>
    </row>
    <row r="31" spans="1:10" s="13" customFormat="1" x14ac:dyDescent="0.35">
      <c r="A31" s="3"/>
      <c r="B31" s="3"/>
      <c r="C31" s="3"/>
      <c r="D31" s="85" t="str">
        <f ca="1">CONCATENATE(Tags!$B$50," ",$D$1)</f>
        <v>Zwischensummen Fußgängerzugang</v>
      </c>
      <c r="E31" s="592"/>
      <c r="F31" s="1">
        <f>SUM(F7:F30)</f>
        <v>43</v>
      </c>
      <c r="G31" s="7">
        <f>SUM(G4,G5:G13,G15:G17,G19:G21,G26:G29,G30,G23:G24)</f>
        <v>0</v>
      </c>
      <c r="H31" s="7">
        <f>SUM(H7:H10,H11:H21,H22:H30)</f>
        <v>15.999999999999998</v>
      </c>
      <c r="I31" s="35">
        <f>SUM(I7:I30)</f>
        <v>0</v>
      </c>
      <c r="J31" s="104"/>
    </row>
    <row r="32" spans="1:10" x14ac:dyDescent="0.35"/>
    <row r="33" spans="1:10" s="13" customFormat="1" ht="13" customHeight="1" x14ac:dyDescent="0.35">
      <c r="D33" s="145" t="str">
        <f ca="1">Tags!B30</f>
        <v>Summe der Positionen</v>
      </c>
      <c r="E33" s="77">
        <v>13</v>
      </c>
      <c r="G33" s="145" t="str">
        <f ca="1">Tags!B34</f>
        <v>Punktzahl</v>
      </c>
      <c r="I33" s="79">
        <f>G31</f>
        <v>0</v>
      </c>
      <c r="J33" s="715" t="str">
        <f ca="1">'Detailed Results'!M11</f>
        <v>unvollständig</v>
      </c>
    </row>
    <row r="34" spans="1:10" s="13" customFormat="1" ht="13" customHeight="1" x14ac:dyDescent="0.35">
      <c r="D34" s="145" t="str">
        <f ca="1">Tags!B31</f>
        <v>Summe der Positionen und Unterpositionen</v>
      </c>
      <c r="E34" s="77">
        <f>IF(slcp=yes,5,23-2*(essl=no)-7*(emvc=yes))</f>
        <v>23</v>
      </c>
      <c r="G34" s="145" t="str">
        <f ca="1">Tags!B35</f>
        <v>Maximale Punktzahl</v>
      </c>
      <c r="I34" s="79">
        <f>F31</f>
        <v>43</v>
      </c>
      <c r="J34" s="716"/>
    </row>
    <row r="35" spans="1:10" s="13" customFormat="1" ht="13" customHeight="1" x14ac:dyDescent="0.35">
      <c r="D35" s="145" t="str">
        <f ca="1">Tags!B32</f>
        <v>vollständige Positionen</v>
      </c>
      <c r="E35" s="79">
        <f>COUNTA(E7:E10,E4:E4)+COUNTA(E5:E6,E11:E30)*(slcp=no)-COUNTA(E11:E12)*(essl=no)-COUNTA(E23:E30)*(emvc=yes)</f>
        <v>0</v>
      </c>
      <c r="G35" s="145" t="str">
        <f ca="1">Tags!B36</f>
        <v>Prozentsatz</v>
      </c>
      <c r="I35" s="80">
        <f>I33/I34</f>
        <v>0</v>
      </c>
      <c r="J35" s="716"/>
    </row>
    <row r="36" spans="1:10" s="13" customFormat="1" ht="13" customHeight="1" x14ac:dyDescent="0.35">
      <c r="D36" s="145" t="str">
        <f ca="1">Tags!B33</f>
        <v>nicht gemessen</v>
      </c>
      <c r="E36" s="79">
        <f>E34-E35</f>
        <v>23</v>
      </c>
      <c r="G36" s="145" t="str">
        <f ca="1">Tags!B37</f>
        <v>Wert der Kategorie</v>
      </c>
      <c r="I36" s="79">
        <f>VLOOKUP(A1,'Detailed Results'!$A$7:$M$15,11)</f>
        <v>16</v>
      </c>
      <c r="J36" s="717"/>
    </row>
    <row r="37" spans="1:10" x14ac:dyDescent="0.35"/>
    <row r="38" spans="1:10" ht="15.5" x14ac:dyDescent="0.35">
      <c r="A38" s="107" t="str">
        <f ca="1">Tags!B60</f>
        <v>Anmerkungen</v>
      </c>
      <c r="B38" s="107"/>
      <c r="C38" s="107"/>
    </row>
    <row r="39" spans="1:10" x14ac:dyDescent="0.35"/>
    <row r="40" spans="1:10" x14ac:dyDescent="0.35"/>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sheetData>
  <sheetProtection algorithmName="SHA-512" hashValue="oAWZy5NN8WGDANYvzKGfSwv+gC7CzEN84MKqMcbaCDYLVGeP/eGzEq762ZtMLJVuJUlzQg7sgn0laULX0LTqRw==" saltValue="dqWVas/EOoWjG5dn3paiDQ==" spinCount="100000" sheet="1" formatRows="0" selectLockedCells="1"/>
  <mergeCells count="25">
    <mergeCell ref="H22:H24"/>
    <mergeCell ref="I22:I24"/>
    <mergeCell ref="J22:J24"/>
    <mergeCell ref="A18:A21"/>
    <mergeCell ref="J33:J36"/>
    <mergeCell ref="A25:A29"/>
    <mergeCell ref="H25:H29"/>
    <mergeCell ref="I25:I29"/>
    <mergeCell ref="J25:J29"/>
    <mergeCell ref="A22:A24"/>
    <mergeCell ref="F26:F29"/>
    <mergeCell ref="D22:G22"/>
    <mergeCell ref="D25:G25"/>
    <mergeCell ref="F19:F21"/>
    <mergeCell ref="D18:G18"/>
    <mergeCell ref="F23:F24"/>
    <mergeCell ref="I14:I16"/>
    <mergeCell ref="J14:J16"/>
    <mergeCell ref="A14:A16"/>
    <mergeCell ref="H14:H16"/>
    <mergeCell ref="H18:H21"/>
    <mergeCell ref="I18:I21"/>
    <mergeCell ref="J18:J21"/>
    <mergeCell ref="F15:F16"/>
    <mergeCell ref="D14:G14"/>
  </mergeCells>
  <phoneticPr fontId="24" type="noConversion"/>
  <conditionalFormatting sqref="E5:E6 E11:E13 E15:E17 E19:E21 E23:E24 E26:E30">
    <cfRule type="expression" dxfId="40" priority="31">
      <formula>($E$4=yes)</formula>
    </cfRule>
  </conditionalFormatting>
  <conditionalFormatting sqref="E11:E12">
    <cfRule type="expression" dxfId="39" priority="33">
      <formula>($E$5=no)</formula>
    </cfRule>
  </conditionalFormatting>
  <conditionalFormatting sqref="E23:E24 E26:E30">
    <cfRule type="expression" dxfId="38" priority="34">
      <formula>$E$6=yes</formula>
    </cfRule>
  </conditionalFormatting>
  <conditionalFormatting sqref="J33:J36">
    <cfRule type="expression" dxfId="36" priority="47">
      <formula>#REF!="Fail"</formula>
    </cfRule>
    <cfRule type="expression" dxfId="35" priority="48">
      <formula>(#REF!="Pass")</formula>
    </cfRule>
  </conditionalFormatting>
  <dataValidations count="1">
    <dataValidation type="list" allowBlank="1" showInputMessage="1" showErrorMessage="1" sqref="E8 E4:E6 E20 E28:E29 E10 E15:E17" xr:uid="{00000000-0002-0000-0800-000000000000}">
      <formula1>YesNo</formula1>
    </dataValidation>
  </dataValidations>
  <printOptions horizontalCentered="1"/>
  <pageMargins left="0.71" right="0.71" top="0.75000000000000011" bottom="0.75000000000000011" header="0.31" footer="0.31"/>
  <pageSetup paperSize="9" scale="45"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7A1D2118-0B6C-BA4C-B814-8B8922173353}">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0000000-0002-0000-0800-000001000000}">
          <x14:formula1>
            <xm:f>Answers!$B$129:$B$131</xm:f>
          </x14:formula1>
          <xm:sqref>E13</xm:sqref>
        </x14:dataValidation>
        <x14:dataValidation type="list" allowBlank="1" showInputMessage="1" showErrorMessage="1" xr:uid="{00000000-0002-0000-0800-000002000000}">
          <x14:formula1>
            <xm:f>Answers!$B$113:$B$116</xm:f>
          </x14:formula1>
          <xm:sqref>E7</xm:sqref>
        </x14:dataValidation>
        <x14:dataValidation type="list" allowBlank="1" showInputMessage="1" showErrorMessage="1" xr:uid="{00000000-0002-0000-0800-000003000000}">
          <x14:formula1>
            <xm:f>Answers!$B$118:$B$120</xm:f>
          </x14:formula1>
          <xm:sqref>E9</xm:sqref>
        </x14:dataValidation>
        <x14:dataValidation type="list" allowBlank="1" showInputMessage="1" showErrorMessage="1" xr:uid="{00000000-0002-0000-0800-000004000000}">
          <x14:formula1>
            <xm:f>Answers!$B$146:$B$147</xm:f>
          </x14:formula1>
          <xm:sqref>E30</xm:sqref>
        </x14:dataValidation>
        <x14:dataValidation type="list" allowBlank="1" showInputMessage="1" showErrorMessage="1" xr:uid="{00000000-0002-0000-0800-000005000000}">
          <x14:formula1>
            <xm:f>Answers!$B$142:$B$144</xm:f>
          </x14:formula1>
          <xm:sqref>E27</xm:sqref>
        </x14:dataValidation>
        <x14:dataValidation type="list" allowBlank="1" showInputMessage="1" showErrorMessage="1" xr:uid="{00000000-0002-0000-0800-000006000000}">
          <x14:formula1>
            <xm:f>Answers!$B$133:$B$134</xm:f>
          </x14:formula1>
          <xm:sqref>E26</xm:sqref>
        </x14:dataValidation>
        <x14:dataValidation type="list" allowBlank="1" showInputMessage="1" showErrorMessage="1" xr:uid="{00000000-0002-0000-0800-000007000000}">
          <x14:formula1>
            <xm:f>Answers!$B$139:$B$140</xm:f>
          </x14:formula1>
          <xm:sqref>E21</xm:sqref>
        </x14:dataValidation>
        <x14:dataValidation type="list" allowBlank="1" showInputMessage="1" showErrorMessage="1" xr:uid="{00000000-0002-0000-0800-000008000000}">
          <x14:formula1>
            <xm:f>Answers!$B$136:$B$137</xm:f>
          </x14:formula1>
          <xm:sqref>E19</xm:sqref>
        </x14:dataValidation>
        <x14:dataValidation type="list" allowBlank="1" showInputMessage="1" showErrorMessage="1" xr:uid="{00000000-0002-0000-0800-000009000000}">
          <x14:formula1>
            <xm:f>Answers!$B$125:$B$127</xm:f>
          </x14:formula1>
          <xm:sqref>E12</xm:sqref>
        </x14:dataValidation>
        <x14:dataValidation type="list" allowBlank="1" showInputMessage="1" showErrorMessage="1" xr:uid="{00000000-0002-0000-0800-00000A000000}">
          <x14:formula1>
            <xm:f>Answers!$B$122:$B$123</xm:f>
          </x14:formula1>
          <xm:sqref>E11</xm:sqref>
        </x14:dataValidation>
        <x14:dataValidation type="list" allowBlank="1" showInputMessage="1" showErrorMessage="1" xr:uid="{00000000-0002-0000-0800-00000B000000}">
          <x14:formula1>
            <xm:f>Answers!$B$23:$B$25</xm:f>
          </x14:formula1>
          <xm:sqref>E23:E24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K54"/>
  <sheetViews>
    <sheetView showGridLines="0" topLeftCell="A11" zoomScale="81" zoomScaleNormal="81" workbookViewId="0">
      <selection activeCell="E4" sqref="E4"/>
    </sheetView>
  </sheetViews>
  <sheetFormatPr baseColWidth="10" defaultColWidth="0" defaultRowHeight="14.5" zeroHeight="1" x14ac:dyDescent="0.35"/>
  <cols>
    <col min="1" max="1" width="4.81640625" style="4" customWidth="1"/>
    <col min="2"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7</v>
      </c>
      <c r="B1" s="482">
        <v>7</v>
      </c>
      <c r="C1" s="482"/>
      <c r="D1" s="466" t="str">
        <f ca="1">VLOOKUP(A1,Questions!$D$4:$F$418,3,FALSE)</f>
        <v>Sicherheitsausstattung</v>
      </c>
      <c r="E1" s="483"/>
      <c r="F1" s="484"/>
      <c r="G1" s="485" t="str">
        <f ca="1">IF(E28&gt;0,Tags!B21,Tags!B20)</f>
        <v>unvollständig</v>
      </c>
      <c r="H1" s="486" t="s">
        <v>485</v>
      </c>
      <c r="I1" s="487">
        <f>I27*I28</f>
        <v>0</v>
      </c>
      <c r="J1" s="488">
        <f>I27</f>
        <v>0</v>
      </c>
    </row>
    <row r="2" spans="1:10" s="13" customFormat="1" ht="13" customHeight="1" x14ac:dyDescent="0.35"/>
    <row r="3" spans="1:10" ht="42" x14ac:dyDescent="0.35">
      <c r="A3" s="11">
        <v>7</v>
      </c>
      <c r="B3" s="11">
        <v>3</v>
      </c>
      <c r="C3" s="11"/>
      <c r="D3" s="10" t="str">
        <f ca="1">Tags!B55</f>
        <v>Positionsliste</v>
      </c>
      <c r="E3" s="56" t="str">
        <f ca="1">Tags!B56</f>
        <v>Messwerte</v>
      </c>
      <c r="F3" s="6" t="str">
        <f ca="1">G26</f>
        <v>Maximale Punktzahl</v>
      </c>
      <c r="G3" s="6" t="str">
        <f ca="1">G25</f>
        <v>Punktzahl</v>
      </c>
      <c r="H3" s="327" t="str">
        <f ca="1">Tags!B57</f>
        <v>maximaler Beitrag zum Endergebnis</v>
      </c>
      <c r="I3" s="327" t="str">
        <f ca="1">Tags!B58</f>
        <v>Beitrag zum Endergebnis</v>
      </c>
      <c r="J3" s="327" t="str">
        <f ca="1">Tags!B59</f>
        <v>Anmerkungen</v>
      </c>
    </row>
    <row r="4" spans="1:10" s="13" customFormat="1" ht="25" customHeight="1" x14ac:dyDescent="0.35">
      <c r="A4" s="99" t="s">
        <v>506</v>
      </c>
      <c r="B4" s="233" t="s">
        <v>506</v>
      </c>
      <c r="C4" s="99"/>
      <c r="D4" s="100" t="str">
        <f ca="1">VLOOKUP(B4,Questions!$D$4:$F$418,3,FALSE)</f>
        <v>Videoüberwachung mit Hinweis an den Eingängen = 3; keine Videoüberwachung = 0</v>
      </c>
      <c r="E4" s="63"/>
      <c r="F4" s="12">
        <v>3</v>
      </c>
      <c r="G4" s="421" t="str">
        <f>IF(COUNTIF(Question_YN_Yes,E4)&gt;0,3,IF(COUNTIF(Question_YN_No,E4)&gt;0,0,"NA"))</f>
        <v>NA</v>
      </c>
      <c r="H4" s="37">
        <f>F4/$I$26*$I$28</f>
        <v>0.68571428571428572</v>
      </c>
      <c r="I4" s="37">
        <f>IF(ISNUMBER(G4),G4/$I$26*$I$28,0)</f>
        <v>0</v>
      </c>
      <c r="J4" s="102"/>
    </row>
    <row r="5" spans="1:10" s="13" customFormat="1" ht="25" x14ac:dyDescent="0.35">
      <c r="A5" s="99" t="s">
        <v>507</v>
      </c>
      <c r="B5" s="233" t="s">
        <v>507</v>
      </c>
      <c r="C5" s="99"/>
      <c r="D5" s="100" t="str">
        <f ca="1">VLOOKUP(B5,Questions!$D$4:$F$418,3,FALSE)</f>
        <v>Kontrollpersonal (vor Ort oder per Fernüberwachung)
ja = 5; nein = 0</v>
      </c>
      <c r="E5" s="63"/>
      <c r="F5" s="12">
        <v>5</v>
      </c>
      <c r="G5" s="421" t="str">
        <f>IF(COUNTIF(Question_YN_Yes,E5)&gt;0,5,IF(COUNTIF(Question_YN_No,E5)&gt;0,0,"NA"))</f>
        <v>NA</v>
      </c>
      <c r="H5" s="37">
        <f>F5/$I$26*$I$28</f>
        <v>1.1428571428571428</v>
      </c>
      <c r="I5" s="37">
        <f>IF(ISNUMBER(G5),G5/$I$26*$I$28,0)</f>
        <v>0</v>
      </c>
      <c r="J5" s="102"/>
    </row>
    <row r="6" spans="1:10" s="13" customFormat="1" x14ac:dyDescent="0.35">
      <c r="A6" s="791" t="s">
        <v>508</v>
      </c>
      <c r="B6" s="233" t="s">
        <v>2664</v>
      </c>
      <c r="C6" s="217"/>
      <c r="D6" s="763" t="str">
        <f ca="1">VLOOKUP(B6,Questions!$D$4:$F$418,3,FALSE)</f>
        <v xml:space="preserve">Videoüberwachung bei: </v>
      </c>
      <c r="E6" s="764"/>
      <c r="F6" s="764"/>
      <c r="G6" s="765" t="str">
        <f>IF(ISERROR(G7+G8+G9+G10+G11+G12+G13+G14),"NA",SUM(G7:G14))</f>
        <v>NA</v>
      </c>
      <c r="H6" s="832">
        <f>F7/$I$26*$I$28</f>
        <v>2.2857142857142856</v>
      </c>
      <c r="I6" s="835">
        <f>IF(ISNUMBER(G6),G6/$I$26*$I$28,0)</f>
        <v>0</v>
      </c>
      <c r="J6" s="788"/>
    </row>
    <row r="7" spans="1:10" s="13" customFormat="1" x14ac:dyDescent="0.35">
      <c r="A7" s="792"/>
      <c r="B7" s="233" t="s">
        <v>2665</v>
      </c>
      <c r="C7" s="218"/>
      <c r="D7" s="101" t="str">
        <f ca="1">VLOOKUP(B7,Questions!$D$4:$F$418,3,FALSE)</f>
        <v>Einfahrt: ja = 1; nein = 0</v>
      </c>
      <c r="E7" s="65"/>
      <c r="F7" s="838">
        <v>10</v>
      </c>
      <c r="G7" s="15" t="str">
        <f t="shared" ref="G7:G12" si="0">IF(COUNTIF(Question_YN_Yes,E7)&gt;0,1,IF(COUNTIF(Question_YN_No,E7)&gt;0,0,"NA"))</f>
        <v>NA</v>
      </c>
      <c r="H7" s="833"/>
      <c r="I7" s="836"/>
      <c r="J7" s="789"/>
    </row>
    <row r="8" spans="1:10" s="13" customFormat="1" x14ac:dyDescent="0.35">
      <c r="A8" s="792"/>
      <c r="B8" s="233" t="s">
        <v>2666</v>
      </c>
      <c r="C8" s="218"/>
      <c r="D8" s="101" t="str">
        <f ca="1">VLOOKUP(B8,Questions!$D$4:$F$418,3,FALSE)</f>
        <v>Ausfahrt: ja = 1; nein = 0</v>
      </c>
      <c r="E8" s="65"/>
      <c r="F8" s="827"/>
      <c r="G8" s="15" t="str">
        <f t="shared" si="0"/>
        <v>NA</v>
      </c>
      <c r="H8" s="833"/>
      <c r="I8" s="836"/>
      <c r="J8" s="789"/>
    </row>
    <row r="9" spans="1:10" s="13" customFormat="1" x14ac:dyDescent="0.35">
      <c r="A9" s="792"/>
      <c r="B9" s="233" t="s">
        <v>2667</v>
      </c>
      <c r="C9" s="218"/>
      <c r="D9" s="101" t="str">
        <f ca="1">VLOOKUP(B9,Questions!$D$4:$F$418,3,FALSE)</f>
        <v>Kassenautomaten: ja = 1; nein = 0</v>
      </c>
      <c r="E9" s="65"/>
      <c r="F9" s="827"/>
      <c r="G9" s="15" t="str">
        <f t="shared" si="0"/>
        <v>NA</v>
      </c>
      <c r="H9" s="833"/>
      <c r="I9" s="836"/>
      <c r="J9" s="789"/>
    </row>
    <row r="10" spans="1:10" s="13" customFormat="1" x14ac:dyDescent="0.35">
      <c r="A10" s="792"/>
      <c r="B10" s="233" t="s">
        <v>2668</v>
      </c>
      <c r="C10" s="218"/>
      <c r="D10" s="101" t="str">
        <f ca="1">VLOOKUP(B10,Questions!$D$4:$F$418,3,FALSE)</f>
        <v>Aufzugsräume, jedes Ebene: ja = 1; nein = 0</v>
      </c>
      <c r="E10" s="65"/>
      <c r="F10" s="827"/>
      <c r="G10" s="15" t="str">
        <f t="shared" si="0"/>
        <v>NA</v>
      </c>
      <c r="H10" s="833"/>
      <c r="I10" s="836"/>
      <c r="J10" s="789"/>
    </row>
    <row r="11" spans="1:10" s="13" customFormat="1" x14ac:dyDescent="0.35">
      <c r="A11" s="792"/>
      <c r="B11" s="233" t="s">
        <v>2669</v>
      </c>
      <c r="C11" s="218"/>
      <c r="D11" s="101" t="str">
        <f ca="1">VLOOKUP(B11,Questions!$D$4:$F$418,3,FALSE)</f>
        <v>Treppenhäuser, jede Ebene: ja = 1; nein = 0</v>
      </c>
      <c r="E11" s="65"/>
      <c r="F11" s="827"/>
      <c r="G11" s="15" t="str">
        <f t="shared" si="0"/>
        <v>NA</v>
      </c>
      <c r="H11" s="833"/>
      <c r="I11" s="836"/>
      <c r="J11" s="789"/>
    </row>
    <row r="12" spans="1:10" s="13" customFormat="1" x14ac:dyDescent="0.35">
      <c r="A12" s="792"/>
      <c r="B12" s="233" t="s">
        <v>2670</v>
      </c>
      <c r="C12" s="218"/>
      <c r="D12" s="101" t="str">
        <f ca="1">VLOOKUP(B12,Questions!$D$4:$F$418,3,FALSE)</f>
        <v>Fußgängerzugang: ja = 1; nein = 0</v>
      </c>
      <c r="E12" s="65"/>
      <c r="F12" s="827"/>
      <c r="G12" s="15" t="str">
        <f t="shared" si="0"/>
        <v>NA</v>
      </c>
      <c r="H12" s="833"/>
      <c r="I12" s="836"/>
      <c r="J12" s="789"/>
    </row>
    <row r="13" spans="1:10" s="13" customFormat="1" x14ac:dyDescent="0.35">
      <c r="A13" s="792"/>
      <c r="B13" s="233" t="s">
        <v>2671</v>
      </c>
      <c r="C13" s="218"/>
      <c r="D13" s="101" t="str">
        <f ca="1">VLOOKUP(B13,Questions!$D$4:$F$418,3,FALSE)</f>
        <v>Überwiegender Parkbereich (65%): ja = 3; nein = 0</v>
      </c>
      <c r="E13" s="65"/>
      <c r="F13" s="827"/>
      <c r="G13" s="15" t="str">
        <f>IF(COUNTIF(Question_YN_Yes,E13)&gt;0,3,IF(COUNTIF(Question_YN_No,E13)&gt;0,0,"NA"))</f>
        <v>NA</v>
      </c>
      <c r="H13" s="833"/>
      <c r="I13" s="836"/>
      <c r="J13" s="789"/>
    </row>
    <row r="14" spans="1:10" s="13" customFormat="1" x14ac:dyDescent="0.35">
      <c r="A14" s="793"/>
      <c r="B14" s="233" t="s">
        <v>2672</v>
      </c>
      <c r="C14" s="218"/>
      <c r="D14" s="101" t="str">
        <f ca="1">VLOOKUP(B14,Questions!$D$4:$F$418,3,FALSE)</f>
        <v>Rampen: ja = 1; nein = 0</v>
      </c>
      <c r="E14" s="65"/>
      <c r="F14" s="839"/>
      <c r="G14" s="15" t="str">
        <f>IF(COUNTIF(Question_YN_Yes,E14)&gt;0,1,IF(COUNTIF(Question_YN_No,E14)&gt;0,0,"NA"))</f>
        <v>NA</v>
      </c>
      <c r="H14" s="834"/>
      <c r="I14" s="837"/>
      <c r="J14" s="790"/>
    </row>
    <row r="15" spans="1:10" s="13" customFormat="1" x14ac:dyDescent="0.35">
      <c r="A15" s="791" t="s">
        <v>509</v>
      </c>
      <c r="B15" s="233" t="s">
        <v>2673</v>
      </c>
      <c r="C15" s="217"/>
      <c r="D15" s="763" t="str">
        <f ca="1">VLOOKUP(B15,Questions!$D$4:$F$418,3,FALSE)</f>
        <v>Kontaktaufnahme zu Personal via:</v>
      </c>
      <c r="E15" s="764"/>
      <c r="F15" s="764"/>
      <c r="G15" s="765" t="str">
        <f>IF(ISERROR(G16+G17),"NA",SUM(G16:G17))</f>
        <v>NA</v>
      </c>
      <c r="H15" s="832">
        <f>F16/$I$26*$I$28</f>
        <v>1.3714285714285714</v>
      </c>
      <c r="I15" s="835">
        <f>IF(ISNUMBER(G15),G15/$I$26*$I$28,0)</f>
        <v>0</v>
      </c>
      <c r="J15" s="788"/>
    </row>
    <row r="16" spans="1:10" s="13" customFormat="1" ht="39" customHeight="1" x14ac:dyDescent="0.35">
      <c r="A16" s="792"/>
      <c r="B16" s="233" t="s">
        <v>2674</v>
      </c>
      <c r="C16" s="218"/>
      <c r="D16" s="101" t="str">
        <f ca="1">VLOOKUP(B16,Questions!$D$4:$F$418,3,FALSE)</f>
        <v>Sprechstellen an den Kassenautomaten und/oder gesicherten Zugängen (24/7 = 3; zu den Öffnungszeiten (wenn nicht 24/7) = 2; teilweise/gar nicht = 0)</v>
      </c>
      <c r="E16" s="65"/>
      <c r="F16" s="838">
        <v>6</v>
      </c>
      <c r="G16" s="15" t="str">
        <f>IF(COUNTIF(Q_7_4_24_7,E16)&gt;0,3,(IF(COUNTIF(Q_7_4_All_Access_Hours,E16)&gt;0,2,(IF(COUNTIF(Q_7_4_PartTime,E16)&gt;0,0,"NA")))))</f>
        <v>NA</v>
      </c>
      <c r="H16" s="833"/>
      <c r="I16" s="836"/>
      <c r="J16" s="789"/>
    </row>
    <row r="17" spans="1:10" s="13" customFormat="1" ht="37" customHeight="1" x14ac:dyDescent="0.35">
      <c r="A17" s="793"/>
      <c r="B17" s="233" t="s">
        <v>2675</v>
      </c>
      <c r="C17" s="218"/>
      <c r="D17" s="101" t="str">
        <f ca="1">VLOOKUP(B17,Questions!$D$4:$F$418,3,FALSE)</f>
        <v>Notrufsystem im Parkbereich (24/7 = 3; zu den Öffnungszeiten (wenn nicht 24/7) = 2; teilweise/gar nicht = 0)</v>
      </c>
      <c r="E17" s="65"/>
      <c r="F17" s="828"/>
      <c r="G17" s="15" t="str">
        <f>IF(COUNTIF(Q_7_4_24_7,E17)&gt;0,3,(IF(COUNTIF(Q_7_4_All_Access_Hours,E17)&gt;0,2,(IF(COUNTIF(Q_7_4_PartTime,E17)&gt;0,0,"NA")))))</f>
        <v>NA</v>
      </c>
      <c r="H17" s="834"/>
      <c r="I17" s="837"/>
      <c r="J17" s="790"/>
    </row>
    <row r="18" spans="1:10" s="13" customFormat="1" ht="37.5" x14ac:dyDescent="0.35">
      <c r="A18" s="99" t="s">
        <v>510</v>
      </c>
      <c r="B18" s="233" t="s">
        <v>510</v>
      </c>
      <c r="C18" s="99"/>
      <c r="D18" s="100" t="str">
        <f ca="1">VLOOKUP(B18,Questions!$D$4:$F$418,3,FALSE)</f>
        <v>Ausgewiesenes Parkhauspersonal ist präsent und patroulliert durch die Parkeinrichtung (24/7 = 3; zu den Öffnungszeiten (wenn nicht 24/7) = 2; teilweise = 1; gar nicht = 0)</v>
      </c>
      <c r="E18" s="63"/>
      <c r="F18" s="12">
        <v>3</v>
      </c>
      <c r="G18" s="421" t="str">
        <f>IF(COUNTIF(Q_7_5_24_7,E18)&gt;0,3,(IF(COUNTIF(Q_7_5_Access_Times,E18)&gt;0,2,(IF(COUNTIF(Q_7_5_Less_Then,E18)&gt;0,1,(IF(COUNTIF(Q_7_5_No,E18)&gt;0,0,"NA")))))))</f>
        <v>NA</v>
      </c>
      <c r="H18" s="37">
        <f>F18/$I$26*$I$28</f>
        <v>0.68571428571428572</v>
      </c>
      <c r="I18" s="37">
        <f>IF(ISNUMBER(G18),G18/$I$26*$I$28,0)</f>
        <v>0</v>
      </c>
      <c r="J18" s="102"/>
    </row>
    <row r="19" spans="1:10" s="13" customFormat="1" ht="50" x14ac:dyDescent="0.35">
      <c r="A19" s="99" t="s">
        <v>511</v>
      </c>
      <c r="B19" s="233" t="s">
        <v>511</v>
      </c>
      <c r="C19" s="99"/>
      <c r="D19" s="100" t="str">
        <f ca="1">VLOOKUP(B19,Questions!$D$4:$F$418,3,FALSE)</f>
        <v>Verschließbare Ein-/Ausfahrten:
(geschlossene Tore/Rollgitter außerhalb der Öffnungszeiten = 2; Schnelllauftore während der Öffnungszeiten = 4; langsam öffnende/schließende Tore während der Öffnungszeiten = 2; keine Sicherung = 0)</v>
      </c>
      <c r="E19" s="63"/>
      <c r="F19" s="12">
        <v>4</v>
      </c>
      <c r="G19" s="421" t="str">
        <f>IF(COUNTIF(Q_7_6_Closed,E19)&gt;0,2,(IF(COUNTIF(Q_7_6_Secured,E19)&gt;0,4,(IF(COUNTIF(Q_7_6_Slow_Opening,E19)&gt;0,2,(IF(COUNTIF(Q_7_6_No_Provisions,E19)&gt;0,0,"NA")))))))</f>
        <v>NA</v>
      </c>
      <c r="H19" s="37">
        <f>F19/$I$26*$I$28</f>
        <v>0.91428571428571426</v>
      </c>
      <c r="I19" s="37">
        <f>IF(ISNUMBER(G19),G19/$I$26*$I$28,0)</f>
        <v>0</v>
      </c>
      <c r="J19" s="102"/>
    </row>
    <row r="20" spans="1:10" s="13" customFormat="1" ht="52" customHeight="1" x14ac:dyDescent="0.35">
      <c r="A20" s="99" t="s">
        <v>512</v>
      </c>
      <c r="B20" s="233" t="s">
        <v>512</v>
      </c>
      <c r="C20" s="99"/>
      <c r="D20" s="100" t="str">
        <f ca="1">VLOOKUP(B20,Questions!$D$4:$F$418,3,FALSE)</f>
        <v>Verschließbare Fußgängerzu-/ausgänge (außerhalb der Öffnungszeiten): (Türen, Tore oder Rollgitter mit Öffnungen &lt;= 15cm = 2; &gt; 15cm = 0; keine Sicherung = 0; irrelevant (24 Std.-Betrieb) = 4)</v>
      </c>
      <c r="E20" s="63"/>
      <c r="F20" s="12">
        <v>2</v>
      </c>
      <c r="G20" s="421" t="str">
        <f>IF(COUNTIF(Q_7_7_Less_then_15,E20)&gt;0,2,(IF(COUNTIF(Q_7_7_more_than_15,E20)&gt;0,0,(IF(COUNTIF(Q_7_7_No_Provisions,E20)&gt;0,0,(IF(COUNTIF(Q_7_7_Irrelevant,E20)&gt;0,2,"NA")))))))</f>
        <v>NA</v>
      </c>
      <c r="H20" s="37">
        <f>F20/$I$26*$I$28</f>
        <v>0.45714285714285713</v>
      </c>
      <c r="I20" s="37">
        <f>IF(ISNUMBER(G20),G20/$I$26*$I$28,0)</f>
        <v>0</v>
      </c>
      <c r="J20" s="102"/>
    </row>
    <row r="21" spans="1:10" s="13" customFormat="1" ht="37.5" x14ac:dyDescent="0.35">
      <c r="A21" s="99" t="s">
        <v>513</v>
      </c>
      <c r="B21" s="233" t="s">
        <v>513</v>
      </c>
      <c r="C21" s="99"/>
      <c r="D21" s="100" t="str">
        <f ca="1">VLOOKUP(B21,Questions!$D$4:$F$418,3,FALSE)</f>
        <v>Vergitterung von Öffnungen nach außen und Sicherheitsgitter (&lt;= 15cm = 2; &gt; 15cm oder keine Vorkehrung = 0; irrelevant (keine Öffnungen nach außen) = 2)</v>
      </c>
      <c r="E21" s="63"/>
      <c r="F21" s="12">
        <v>2</v>
      </c>
      <c r="G21" s="421" t="str">
        <f>IF(COUNTIF(Q_7_8_Less_than_15,E21)&gt;0,2,(IF(COUNTIF(Q_7_8_More_than_15,E21)&gt;0,0,(IF(COUNTIF(Q_7_8_Irrelevant,E21)&gt;0,2,"NA")))))</f>
        <v>NA</v>
      </c>
      <c r="H21" s="37">
        <f>F21/$I$26*$I$28</f>
        <v>0.45714285714285713</v>
      </c>
      <c r="I21" s="37">
        <f>IF(ISNUMBER(G21),G21/$I$26*$I$28,0)</f>
        <v>0</v>
      </c>
      <c r="J21" s="102"/>
    </row>
    <row r="22" spans="1:10" x14ac:dyDescent="0.35">
      <c r="B22" s="233"/>
      <c r="C22" s="3"/>
      <c r="D22" s="85" t="str">
        <f ca="1">CONCATENATE(Tags!$B$50," ",$D$1)</f>
        <v>Zwischensummen Sicherheitsausstattung</v>
      </c>
      <c r="E22" s="106"/>
      <c r="F22" s="1">
        <f>SUM(F4:F21)</f>
        <v>35</v>
      </c>
      <c r="G22" s="14">
        <f>SUM(G18:G21,G15,G4:G6)</f>
        <v>0</v>
      </c>
      <c r="H22" s="7">
        <f>SUM(H4:H21)</f>
        <v>8</v>
      </c>
      <c r="I22" s="35">
        <f>SUM(I4:I21)</f>
        <v>0</v>
      </c>
      <c r="J22" s="105"/>
    </row>
    <row r="23" spans="1:10" x14ac:dyDescent="0.35">
      <c r="B23" s="233"/>
    </row>
    <row r="24" spans="1:10" x14ac:dyDescent="0.35">
      <c r="B24" s="233"/>
    </row>
    <row r="25" spans="1:10" s="13" customFormat="1" ht="13" customHeight="1" x14ac:dyDescent="0.35">
      <c r="D25" s="145" t="str">
        <f ca="1">Tags!B30</f>
        <v>Summe der Positionen</v>
      </c>
      <c r="E25" s="77">
        <v>8</v>
      </c>
      <c r="G25" s="145" t="str">
        <f ca="1">Tags!B34</f>
        <v>Punktzahl</v>
      </c>
      <c r="I25" s="79">
        <f>G22</f>
        <v>0</v>
      </c>
      <c r="J25" s="715" t="str">
        <f ca="1">'Detailed Results'!M12</f>
        <v>unvollständig</v>
      </c>
    </row>
    <row r="26" spans="1:10" s="13" customFormat="1" ht="13" customHeight="1" x14ac:dyDescent="0.35">
      <c r="D26" s="145" t="str">
        <f ca="1">Tags!B31</f>
        <v>Summe der Positionen und Unterpositionen</v>
      </c>
      <c r="E26" s="77">
        <v>16</v>
      </c>
      <c r="G26" s="145" t="str">
        <f ca="1">Tags!B35</f>
        <v>Maximale Punktzahl</v>
      </c>
      <c r="I26" s="79">
        <f>F22</f>
        <v>35</v>
      </c>
      <c r="J26" s="716"/>
    </row>
    <row r="27" spans="1:10" s="13" customFormat="1" ht="13" customHeight="1" x14ac:dyDescent="0.35">
      <c r="D27" s="145" t="str">
        <f ca="1">Tags!B32</f>
        <v>vollständige Positionen</v>
      </c>
      <c r="E27" s="79">
        <f>COUNTA(E4:E5,E7:E14,E16:E21)</f>
        <v>0</v>
      </c>
      <c r="G27" s="145" t="str">
        <f ca="1">Tags!B36</f>
        <v>Prozentsatz</v>
      </c>
      <c r="I27" s="80">
        <f>I25/I26</f>
        <v>0</v>
      </c>
      <c r="J27" s="716"/>
    </row>
    <row r="28" spans="1:10" s="13" customFormat="1" ht="13" customHeight="1" x14ac:dyDescent="0.35">
      <c r="D28" s="145" t="str">
        <f ca="1">Tags!B33</f>
        <v>nicht gemessen</v>
      </c>
      <c r="E28" s="79">
        <f>E26-E27</f>
        <v>16</v>
      </c>
      <c r="G28" s="145" t="str">
        <f ca="1">Tags!B37</f>
        <v>Wert der Kategorie</v>
      </c>
      <c r="I28" s="79">
        <f>VLOOKUP(A1,'Detailed Results'!$A$7:$M$15,11)</f>
        <v>8</v>
      </c>
      <c r="J28" s="717"/>
    </row>
    <row r="29" spans="1:10" x14ac:dyDescent="0.35"/>
    <row r="30" spans="1:10" x14ac:dyDescent="0.35"/>
    <row r="31" spans="1:10" x14ac:dyDescent="0.35"/>
    <row r="32" spans="1:10" x14ac:dyDescent="0.35"/>
    <row r="33" spans="4:6" x14ac:dyDescent="0.35"/>
    <row r="34" spans="4:6" x14ac:dyDescent="0.35"/>
    <row r="35" spans="4:6" x14ac:dyDescent="0.35"/>
    <row r="36" spans="4:6" x14ac:dyDescent="0.35"/>
    <row r="37" spans="4:6" x14ac:dyDescent="0.35"/>
    <row r="38" spans="4:6" x14ac:dyDescent="0.35"/>
    <row r="39" spans="4:6" x14ac:dyDescent="0.35"/>
    <row r="40" spans="4:6" x14ac:dyDescent="0.35"/>
    <row r="41" spans="4:6" x14ac:dyDescent="0.35"/>
    <row r="42" spans="4:6" x14ac:dyDescent="0.35"/>
    <row r="43" spans="4:6" x14ac:dyDescent="0.35"/>
    <row r="44" spans="4:6" x14ac:dyDescent="0.35"/>
    <row r="45" spans="4:6" x14ac:dyDescent="0.35"/>
    <row r="46" spans="4:6" hidden="1" x14ac:dyDescent="0.35">
      <c r="D46" s="13"/>
      <c r="E46" s="13"/>
      <c r="F46" s="13"/>
    </row>
    <row r="47" spans="4:6" hidden="1" x14ac:dyDescent="0.35">
      <c r="D47" s="13"/>
      <c r="E47" s="13"/>
      <c r="F47" s="13"/>
    </row>
    <row r="48" spans="4:6" x14ac:dyDescent="0.35"/>
    <row r="49" x14ac:dyDescent="0.35"/>
    <row r="50" x14ac:dyDescent="0.35"/>
    <row r="51" x14ac:dyDescent="0.35"/>
    <row r="52" x14ac:dyDescent="0.35"/>
    <row r="53" x14ac:dyDescent="0.35"/>
    <row r="54" x14ac:dyDescent="0.35"/>
  </sheetData>
  <sheetProtection algorithmName="SHA-512" hashValue="VG0fdWKACM/5KNphbrFbl9kEqZayF+WMGJshYAKca8/Lz71lggtQfDEwA+eywZGAwB42vGno9DO9zrtmev9Jmg==" saltValue="SwzHiRoBmhDfhLNYvUEbjQ==" spinCount="100000" sheet="1" formatRows="0" selectLockedCells="1" sort="0" autoFilter="0"/>
  <mergeCells count="13">
    <mergeCell ref="J15:J17"/>
    <mergeCell ref="J25:J28"/>
    <mergeCell ref="A6:A14"/>
    <mergeCell ref="H6:H14"/>
    <mergeCell ref="I6:I14"/>
    <mergeCell ref="A15:A17"/>
    <mergeCell ref="I15:I17"/>
    <mergeCell ref="H15:H17"/>
    <mergeCell ref="J6:J14"/>
    <mergeCell ref="D6:G6"/>
    <mergeCell ref="D15:G15"/>
    <mergeCell ref="F7:F14"/>
    <mergeCell ref="F16:F17"/>
  </mergeCells>
  <phoneticPr fontId="24" type="noConversion"/>
  <conditionalFormatting sqref="J25:J28">
    <cfRule type="expression" dxfId="33" priority="49">
      <formula>#REF!="Fail"</formula>
    </cfRule>
    <cfRule type="expression" dxfId="32" priority="50">
      <formula>(#REF!="Pass")</formula>
    </cfRule>
  </conditionalFormatting>
  <dataValidations count="1">
    <dataValidation type="list" allowBlank="1" showInputMessage="1" showErrorMessage="1" sqref="E7:E14 E4:E5" xr:uid="{00000000-0002-0000-0900-000000000000}">
      <formula1>YesNo</formula1>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2A6E84AF-5B3F-A245-9F58-F0C41D0FCED0}">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1000000}">
          <x14:formula1>
            <xm:f>Answers!$B$149:$B$151</xm:f>
          </x14:formula1>
          <xm:sqref>E16:E17</xm:sqref>
        </x14:dataValidation>
        <x14:dataValidation type="list" allowBlank="1" showInputMessage="1" showErrorMessage="1" xr:uid="{00000000-0002-0000-0900-000002000000}">
          <x14:formula1>
            <xm:f>Answers!$B$153:$B$156</xm:f>
          </x14:formula1>
          <xm:sqref>E18</xm:sqref>
        </x14:dataValidation>
        <x14:dataValidation type="list" allowBlank="1" showInputMessage="1" showErrorMessage="1" xr:uid="{00000000-0002-0000-0900-000003000000}">
          <x14:formula1>
            <xm:f>Answers!$B$158:$B$161</xm:f>
          </x14:formula1>
          <xm:sqref>E19</xm:sqref>
        </x14:dataValidation>
        <x14:dataValidation type="list" allowBlank="1" showInputMessage="1" showErrorMessage="1" xr:uid="{00000000-0002-0000-0900-000004000000}">
          <x14:formula1>
            <xm:f>Answers!$B$163:$B$166</xm:f>
          </x14:formula1>
          <xm:sqref>E20</xm:sqref>
        </x14:dataValidation>
        <x14:dataValidation type="list" allowBlank="1" showInputMessage="1" showErrorMessage="1" xr:uid="{00000000-0002-0000-0900-000005000000}">
          <x14:formula1>
            <xm:f>Answers!$B$168:$B$170</xm:f>
          </x14:formula1>
          <xm:sqref>E21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K59"/>
  <sheetViews>
    <sheetView showGridLines="0" zoomScaleNormal="100" workbookViewId="0">
      <selection activeCell="J4" sqref="J4:J7"/>
    </sheetView>
  </sheetViews>
  <sheetFormatPr baseColWidth="10" defaultColWidth="0" defaultRowHeight="14.5" zeroHeight="1" x14ac:dyDescent="0.35"/>
  <cols>
    <col min="1" max="1" width="4.81640625" style="233" customWidth="1"/>
    <col min="2" max="3" width="4.81640625" style="4" hidden="1" customWidth="1"/>
    <col min="4" max="4" width="58" style="4" customWidth="1"/>
    <col min="5" max="5" width="15.81640625" style="4" customWidth="1"/>
    <col min="6" max="6" width="12.1796875" style="4" customWidth="1"/>
    <col min="7"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8</v>
      </c>
      <c r="B1" s="482">
        <v>8</v>
      </c>
      <c r="C1" s="482"/>
      <c r="D1" s="466" t="str">
        <f ca="1">VLOOKUP(A1,Questions!$D$4:$F$418,3,FALSE)</f>
        <v>Wegweisung innerhalb/außerhalb der Parkeinrichtung</v>
      </c>
      <c r="E1" s="483"/>
      <c r="F1" s="484"/>
      <c r="G1" s="485" t="str">
        <f ca="1">IF(ISERROR(G2+#REF!+G3),"NA",SUM(G2:G3))</f>
        <v>NA</v>
      </c>
      <c r="H1" s="486" t="s">
        <v>485</v>
      </c>
      <c r="I1" s="487">
        <f>I31*I32</f>
        <v>0</v>
      </c>
      <c r="J1" s="488">
        <f>I31</f>
        <v>0</v>
      </c>
    </row>
    <row r="2" spans="1:10" s="13" customFormat="1" ht="13" customHeight="1" x14ac:dyDescent="0.35">
      <c r="A2" s="21"/>
    </row>
    <row r="3" spans="1:10" ht="42" x14ac:dyDescent="0.35">
      <c r="A3" s="323">
        <v>8</v>
      </c>
      <c r="B3" s="11"/>
      <c r="C3" s="11"/>
      <c r="D3" s="10" t="str">
        <f ca="1">Tags!B55</f>
        <v>Positionsliste</v>
      </c>
      <c r="E3" s="56" t="str">
        <f ca="1">Tags!B56</f>
        <v>Messwerte</v>
      </c>
      <c r="F3" s="6" t="str">
        <f ca="1">G30</f>
        <v>Maximale Punktzahl</v>
      </c>
      <c r="G3" s="6" t="str">
        <f ca="1">G29</f>
        <v>Punktzahl</v>
      </c>
      <c r="H3" s="327" t="str">
        <f ca="1">Tags!B57</f>
        <v>maximaler Beitrag zum Endergebnis</v>
      </c>
      <c r="I3" s="327" t="str">
        <f ca="1">Tags!B58</f>
        <v>Beitrag zum Endergebnis</v>
      </c>
      <c r="J3" s="327" t="str">
        <f ca="1">Tags!B59</f>
        <v>Anmerkungen</v>
      </c>
    </row>
    <row r="4" spans="1:10" x14ac:dyDescent="0.35">
      <c r="A4" s="848" t="s">
        <v>59</v>
      </c>
      <c r="B4" s="233" t="s">
        <v>59</v>
      </c>
      <c r="C4" s="93"/>
      <c r="D4" s="278" t="str">
        <f ca="1">VLOOKUP(B4,Questions!$D$4:$F$418,3,FALSE)</f>
        <v>Anzeige von freien Stellplätzen</v>
      </c>
      <c r="E4" s="279"/>
      <c r="F4" s="279"/>
      <c r="G4" s="280"/>
      <c r="H4" s="849">
        <f>F5/$I$30*$I$32</f>
        <v>1.2121212121212122</v>
      </c>
      <c r="I4" s="840">
        <f>IF(ISNUMBER(SUM(G5:G7)),SUM(G5:G7)/$I$30*$I$32,0)</f>
        <v>0</v>
      </c>
      <c r="J4" s="747"/>
    </row>
    <row r="5" spans="1:10" x14ac:dyDescent="0.35">
      <c r="A5" s="783"/>
      <c r="B5" s="233" t="s">
        <v>2695</v>
      </c>
      <c r="C5" s="94"/>
      <c r="D5" s="90" t="str">
        <f ca="1">VLOOKUP(B5,Questions!$D$4:$F$418,3,FALSE)</f>
        <v>etagenweise (ja/gut = 2; nein/schlecht = 0)</v>
      </c>
      <c r="E5" s="64"/>
      <c r="F5" s="742">
        <v>5</v>
      </c>
      <c r="G5" s="15" t="str">
        <f>IF(COUNTIF(Q_8_1_Parking_Floor,E5)&gt;0,2,IF(COUNTIF(Q_8_1_Parking_Floor_Bad,E5)&gt;0,0,"NA"))</f>
        <v>NA</v>
      </c>
      <c r="H5" s="809"/>
      <c r="I5" s="841"/>
      <c r="J5" s="748"/>
    </row>
    <row r="6" spans="1:10" x14ac:dyDescent="0.35">
      <c r="A6" s="783"/>
      <c r="B6" s="233" t="s">
        <v>2696</v>
      </c>
      <c r="C6" s="94"/>
      <c r="D6" s="90" t="str">
        <f ca="1">VLOOKUP(B6,Questions!$D$4:$F$418,3,FALSE)</f>
        <v>gassenweise (ja/gut = 2; nein/schlecht = 0)</v>
      </c>
      <c r="E6" s="61"/>
      <c r="F6" s="743"/>
      <c r="G6" s="15" t="str">
        <f>IF(COUNTIF(Q_8_1_Parking_Floor,E6)&gt;0,1,IF(COUNTIF(Q_8_1_Parking_Floor_Bad,E6)&gt;0,0,"NA"))</f>
        <v>NA</v>
      </c>
      <c r="H6" s="809"/>
      <c r="I6" s="841"/>
      <c r="J6" s="748"/>
    </row>
    <row r="7" spans="1:10" x14ac:dyDescent="0.35">
      <c r="A7" s="784"/>
      <c r="B7" s="233" t="s">
        <v>2697</v>
      </c>
      <c r="C7" s="94"/>
      <c r="D7" s="90" t="str">
        <f ca="1">VLOOKUP(B7,Questions!$D$4:$F$418,3,FALSE)</f>
        <v>Einzelstellplatzanzeige (ja/gut = 2; nein/schlecht = 0)</v>
      </c>
      <c r="E7" s="61"/>
      <c r="F7" s="733"/>
      <c r="G7" s="15" t="str">
        <f>IF(COUNTIF(Q_8_1_Parking_Floor,E7)&gt;0,2,IF(COUNTIF(Q_8_1_Parking_Floor_Bad,E7)&gt;0,0,"NA"))</f>
        <v>NA</v>
      </c>
      <c r="H7" s="810"/>
      <c r="I7" s="842"/>
      <c r="J7" s="749"/>
    </row>
    <row r="8" spans="1:10" s="13" customFormat="1" x14ac:dyDescent="0.35">
      <c r="A8" s="843" t="s">
        <v>60</v>
      </c>
      <c r="B8" s="233" t="s">
        <v>60</v>
      </c>
      <c r="C8" s="217"/>
      <c r="D8" s="278" t="str">
        <f ca="1">VLOOKUP(B8,Questions!$D$4:$F$418,3,FALSE)</f>
        <v>Verkehrsleitsystem (Fahrzeuge)</v>
      </c>
      <c r="E8" s="279"/>
      <c r="F8" s="279"/>
      <c r="G8" s="280"/>
      <c r="H8" s="832">
        <f>F9/$I$30*$I$32</f>
        <v>1.4545454545454546</v>
      </c>
      <c r="I8" s="846">
        <f>IF(ISNUMBER(SUM(G9:G10)),SUM(G9:G10)/$I$30*$I$32,0)</f>
        <v>0</v>
      </c>
      <c r="J8" s="788"/>
    </row>
    <row r="9" spans="1:10" s="13" customFormat="1" ht="25" x14ac:dyDescent="0.35">
      <c r="A9" s="844"/>
      <c r="B9" s="233" t="s">
        <v>2698</v>
      </c>
      <c r="C9" s="218"/>
      <c r="D9" s="101" t="str">
        <f ca="1">VLOOKUP(B9,Questions!$D$4:$F$418,3,FALSE)</f>
        <v>Sind die Parkebenen für den Fahrer klar verständlich gekennzeichnet? (gut = 3; angemessen = 2; schlecht = 1; nein = 0)</v>
      </c>
      <c r="E9" s="65"/>
      <c r="F9" s="838">
        <v>6</v>
      </c>
      <c r="G9" s="15" t="str">
        <f>IF(COUNTIF(Q_8_2_Good,E9)&gt;0,3,(IF(COUNTIF(Q_8_2_Adequate,E9)&gt;0,2,(IF(COUNTIF(Q_8_2_Poor,E9)&gt;0,1,(IF(COUNTIF(Q_8_2_No,E9)&gt;0,0,"NA")))))))</f>
        <v>NA</v>
      </c>
      <c r="H9" s="833"/>
      <c r="I9" s="786"/>
      <c r="J9" s="789"/>
    </row>
    <row r="10" spans="1:10" s="13" customFormat="1" ht="25" x14ac:dyDescent="0.35">
      <c r="A10" s="845"/>
      <c r="B10" s="233" t="s">
        <v>2699</v>
      </c>
      <c r="C10" s="218"/>
      <c r="D10" s="101" t="str">
        <f ca="1">VLOOKUP(B10,Questions!$D$4:$F$418,3,FALSE)</f>
        <v>Gibt es auf (großen) Parkebenen durch Markierungen abgegrenzte Parkbereiche zur besseren Orientierung? Sind diese für den Fahrer klar verständlich?  (gut = 3; angemessen = 2; schlecht = 1; nein = 0)</v>
      </c>
      <c r="E10" s="65"/>
      <c r="F10" s="828"/>
      <c r="G10" s="15" t="str">
        <f>IF(COUNTIF(Q_8_2_Good,E10)&gt;0,3,(IF(COUNTIF(Q_8_2_Adequate,E10)&gt;0,2,(IF(COUNTIF(Q_8_2_Poor,E10)&gt;0,1,(IF(COUNTIF(Q_8_2_No,E10)&gt;0,0,"NA")))))))</f>
        <v>NA</v>
      </c>
      <c r="H10" s="834"/>
      <c r="I10" s="847"/>
      <c r="J10" s="790"/>
    </row>
    <row r="11" spans="1:10" s="13" customFormat="1" ht="62.5" x14ac:dyDescent="0.35">
      <c r="A11" s="156" t="s">
        <v>61</v>
      </c>
      <c r="B11" s="233" t="s">
        <v>61</v>
      </c>
      <c r="C11" s="99"/>
      <c r="D11" s="100" t="str">
        <f ca="1">VLOOKUP(B11,Questions!$D$4:$F$418,3,FALSE)</f>
        <v>Sind die Notausgänge und Fluchtwege klar gekennzeichnet und sichtbar:
• von allen Punkten = 3
• an dem meisten Punkten = 2
• an einigen Punkten =1
• keine Anzeige =0)</v>
      </c>
      <c r="E11" s="63"/>
      <c r="F11" s="12">
        <v>3</v>
      </c>
      <c r="G11" s="421" t="str">
        <f>IF(COUNTIF(Q_8_3_all,E11)&gt;0,3,(IF(COUNTIF(Q_8_3_most,E11)&gt;0,2,(IF(COUNTIF(Q_8_3_some,E11)&gt;0,1,(IF(COUNTIF(Q_8_3_no,E11)&gt;0,0,"NA")))))))</f>
        <v>NA</v>
      </c>
      <c r="H11" s="37">
        <f>F11/$I$30*$I$32</f>
        <v>0.72727272727272729</v>
      </c>
      <c r="I11" s="37">
        <f>IF(ISNUMBER(G11),G11/$I$30*$I$32,0)</f>
        <v>0</v>
      </c>
      <c r="J11" s="102"/>
    </row>
    <row r="12" spans="1:10" s="13" customFormat="1" ht="25" x14ac:dyDescent="0.35">
      <c r="A12" s="156" t="s">
        <v>94</v>
      </c>
      <c r="B12" s="233" t="s">
        <v>94</v>
      </c>
      <c r="C12" s="99"/>
      <c r="D12" s="100" t="str">
        <f ca="1">VLOOKUP(B12,Questions!$D$4:$F$418,3,FALSE)</f>
        <v>Sind die Ebenen deutlich gekennzeichnet? (gut = 3; angemessen = 2; schlecht = 1; nein = 0; nur eine Ebene: = 3)</v>
      </c>
      <c r="E12" s="63"/>
      <c r="F12" s="12">
        <v>3</v>
      </c>
      <c r="G12" s="421" t="str">
        <f>IF(OR(COUNTIF(Q_8_4_good,E12)&gt;0,COUNTIF(Q_8_4_SLCP,E12)&gt;0),3,(IF(COUNTIF(Q_8_4_Adequate,E12)&gt;0,2,(IF(COUNTIF(Q_8_4_poor,E12)&gt;0,1,(IF(COUNTIF(Q_8_4_none,E12)&gt;0,0,"NA")))))))</f>
        <v>NA</v>
      </c>
      <c r="H12" s="37">
        <f>F12/$I$30*$I$32</f>
        <v>0.72727272727272729</v>
      </c>
      <c r="I12" s="37">
        <f>IF(ISNUMBER(G12),G12/$I$30*$I$32,0)</f>
        <v>0</v>
      </c>
      <c r="J12" s="102"/>
    </row>
    <row r="13" spans="1:10" s="13" customFormat="1" ht="37.5" x14ac:dyDescent="0.35">
      <c r="A13" s="156" t="s">
        <v>95</v>
      </c>
      <c r="B13" s="233" t="s">
        <v>95</v>
      </c>
      <c r="C13" s="99"/>
      <c r="D13" s="100" t="str">
        <f ca="1">VLOOKUP(B13,Questions!$D$4:$F$418,3,FALSE)</f>
        <v>Gibt es zusätzliche Wegweiser für Fußgänger (gut = 2; teilweise = 1; keine = 0)</v>
      </c>
      <c r="E13" s="63"/>
      <c r="F13" s="12">
        <v>2</v>
      </c>
      <c r="G13" s="421" t="str">
        <f>IF(COUNTIF(Q_8_5_Good,E13)&gt;0,2,(IF(COUNTIF(Q_8_5_Some,E13)&gt;0,1,(IF(COUNTIF(Q_8_5_None,E13)&gt;0,0,"NA")))))</f>
        <v>NA</v>
      </c>
      <c r="H13" s="37">
        <f>F13/$I$30*$I$32</f>
        <v>0.48484848484848486</v>
      </c>
      <c r="I13" s="37">
        <f>IF(ISNUMBER(G13),G13/$I$30*$I$32,0)</f>
        <v>0</v>
      </c>
      <c r="J13" s="102"/>
    </row>
    <row r="14" spans="1:10" s="13" customFormat="1" ht="25" x14ac:dyDescent="0.35">
      <c r="A14" s="156" t="s">
        <v>96</v>
      </c>
      <c r="B14" s="233" t="s">
        <v>96</v>
      </c>
      <c r="C14" s="99"/>
      <c r="D14" s="100" t="str">
        <f ca="1">VLOOKUP(B14,Questions!$D$4:$F$418,3,FALSE)</f>
        <v>Sind die Stellplätze einzeln nummeriert (nummeriert einschließlich Ebene = 2; nummeriert = 1; nein = 0)</v>
      </c>
      <c r="E14" s="63"/>
      <c r="F14" s="12">
        <v>2</v>
      </c>
      <c r="G14" s="421" t="str">
        <f>IF(COUNTIF(Q_8_6_nifi,E14)&gt;0,2,(IF(COUNTIF(Q_8_6_just_numbers,E14)&gt;0,1,(IF(COUNTIF(Q_8_6_none,E14)&gt;0,0,"NA")))))</f>
        <v>NA</v>
      </c>
      <c r="H14" s="37">
        <f>F14/$I$30*$I$32</f>
        <v>0.48484848484848486</v>
      </c>
      <c r="I14" s="37">
        <f>IF(ISNUMBER(G14),G14/$I$30*$I$32,0)</f>
        <v>0</v>
      </c>
      <c r="J14" s="102"/>
    </row>
    <row r="15" spans="1:10" s="13" customFormat="1" ht="25" x14ac:dyDescent="0.35">
      <c r="A15" s="156" t="s">
        <v>97</v>
      </c>
      <c r="B15" s="233" t="s">
        <v>97</v>
      </c>
      <c r="C15" s="99"/>
      <c r="D15" s="100" t="str">
        <f ca="1">VLOOKUP(B15,Questions!$D$4:$F$418,3,FALSE)</f>
        <v>Verwendung von Farben zur besseren Orientierung (ja =1; nein = 0)</v>
      </c>
      <c r="E15" s="63"/>
      <c r="F15" s="12">
        <v>1</v>
      </c>
      <c r="G15" s="421" t="str">
        <f>IF(COUNTIF(Question_YN_Yes,E15)&gt;0,1,IF(COUNTIF(Question_YN_No,E15)&gt;0,0,"NA"))</f>
        <v>NA</v>
      </c>
      <c r="H15" s="37">
        <f>F15/$I$30*$I$32</f>
        <v>0.24242424242424243</v>
      </c>
      <c r="I15" s="37">
        <f>IF(ISNUMBER(G15),G15/$I$30*$I$32,0)</f>
        <v>0</v>
      </c>
      <c r="J15" s="102"/>
    </row>
    <row r="16" spans="1:10" x14ac:dyDescent="0.35">
      <c r="A16" s="848" t="s">
        <v>98</v>
      </c>
      <c r="B16" s="233" t="s">
        <v>98</v>
      </c>
      <c r="C16" s="93"/>
      <c r="D16" s="278" t="str">
        <f ca="1">VLOOKUP(B16,Questions!$D$4:$F$418,3,FALSE)</f>
        <v>(Städtisches) Parkleitsystem</v>
      </c>
      <c r="E16" s="279"/>
      <c r="F16" s="413"/>
      <c r="G16" s="280"/>
      <c r="H16" s="849">
        <f>F17/$I$30*$I$32</f>
        <v>0.72727272727272729</v>
      </c>
      <c r="I16" s="840">
        <f>IF(ISNUMBER(SUM(G17:G18)),SUM(G17:G18)/$I$30*$I$32,0)</f>
        <v>0</v>
      </c>
      <c r="J16" s="747"/>
    </row>
    <row r="17" spans="1:10" x14ac:dyDescent="0.35">
      <c r="A17" s="783"/>
      <c r="B17" s="233" t="s">
        <v>2700</v>
      </c>
      <c r="C17" s="94"/>
      <c r="D17" s="90" t="str">
        <f ca="1">VLOOKUP(B17,Questions!$D$4:$F$418,3,FALSE)</f>
        <v>statisches Leitsystem (ja = 1; nein = 0)</v>
      </c>
      <c r="E17" s="64"/>
      <c r="F17" s="742">
        <v>3</v>
      </c>
      <c r="G17" s="15" t="str">
        <f>IF(COUNTIF(Question_YN_Yes,E17)&gt;0,1,IF(COUNTIF(Question_YN_No,E17)&gt;0,0,"NA"))</f>
        <v>NA</v>
      </c>
      <c r="H17" s="809"/>
      <c r="I17" s="841"/>
      <c r="J17" s="748"/>
    </row>
    <row r="18" spans="1:10" ht="25" x14ac:dyDescent="0.35">
      <c r="A18" s="783"/>
      <c r="B18" s="233" t="s">
        <v>2701</v>
      </c>
      <c r="C18" s="94"/>
      <c r="D18" s="274" t="str">
        <f ca="1">VLOOKUP(B18,Questions!$D$4:$F$418,3,FALSE)</f>
        <v>zusätzliches dynamisches Leitsystem (freie Plätze = 2; Frei / Besetzt = 1; nein = 0)</v>
      </c>
      <c r="E18" s="281"/>
      <c r="F18" s="743"/>
      <c r="G18" s="15" t="str">
        <f>IF(COUNTIF(Q_8_8_2_Available,E18)&gt;0,2,(IF(COUNTIF(Q_8_8_2_Full_Free,E18)&gt;0,1,(IF(COUNTIF(Q_8_8_2_None,E18)&gt;0,0,"NA")))))</f>
        <v>NA</v>
      </c>
      <c r="H18" s="809"/>
      <c r="I18" s="841"/>
      <c r="J18" s="748"/>
    </row>
    <row r="19" spans="1:10" x14ac:dyDescent="0.35">
      <c r="A19" s="848" t="s">
        <v>515</v>
      </c>
      <c r="B19" s="233" t="s">
        <v>515</v>
      </c>
      <c r="C19" s="93"/>
      <c r="D19" s="414" t="str">
        <f ca="1">VLOOKUP(B19,Questions!$D$4:$F$418,3,FALSE)</f>
        <v>Leuchtschilder an der Einfahrt</v>
      </c>
      <c r="E19" s="415"/>
      <c r="F19" s="415"/>
      <c r="G19" s="416"/>
      <c r="H19" s="849">
        <f>F20/$I$30*$I$32</f>
        <v>0.96969696969696972</v>
      </c>
      <c r="I19" s="840">
        <f>IF(ISNUMBER(SUM(G20:G22)),SUM(G20:G22)/$I$30*$I$32,0)</f>
        <v>0</v>
      </c>
      <c r="J19" s="747"/>
    </row>
    <row r="20" spans="1:10" x14ac:dyDescent="0.35">
      <c r="A20" s="783"/>
      <c r="B20" s="233" t="s">
        <v>2702</v>
      </c>
      <c r="C20" s="94"/>
      <c r="D20" s="90" t="str">
        <f ca="1">VLOOKUP(B20,Questions!$D$4:$F$418,3,FALSE)</f>
        <v>grüne Pfeile / rote Kreuze (ja = 1; nein = 0)</v>
      </c>
      <c r="E20" s="64"/>
      <c r="F20" s="742">
        <v>4</v>
      </c>
      <c r="G20" s="15" t="str">
        <f>IF(COUNTIF(Question_YN_Yes,E20)&gt;0,1,IF(COUNTIF(Question_YN_No,E20)&gt;0,0,"NA"))</f>
        <v>NA</v>
      </c>
      <c r="H20" s="809"/>
      <c r="I20" s="841"/>
      <c r="J20" s="748"/>
    </row>
    <row r="21" spans="1:10" ht="25" x14ac:dyDescent="0.35">
      <c r="A21" s="783"/>
      <c r="B21" s="233" t="s">
        <v>2703</v>
      </c>
      <c r="C21" s="94"/>
      <c r="D21" s="90" t="str">
        <f ca="1">VLOOKUP(B21,Questions!$D$4:$F$418,3,FALSE)</f>
        <v>zusätzliches dynamisches Leitsystem (freie Plätze = 2; Frei / Besetzt = 1; nein = 0)</v>
      </c>
      <c r="E21" s="281"/>
      <c r="F21" s="743"/>
      <c r="G21" s="15" t="str">
        <f>IF(COUNTIF(Q_8_8_2_Available,E21)&gt;0,2,(IF(COUNTIF(Q_8_8_2_Full_Free,E21)&gt;0,1,(IF(COUNTIF(Q_8_8_2_None,E21)&gt;0,0,"NA")))))</f>
        <v>NA</v>
      </c>
      <c r="H21" s="809"/>
      <c r="I21" s="841"/>
      <c r="J21" s="748"/>
    </row>
    <row r="22" spans="1:10" x14ac:dyDescent="0.35">
      <c r="A22" s="784"/>
      <c r="B22" s="233" t="s">
        <v>2704</v>
      </c>
      <c r="C22" s="94"/>
      <c r="D22" s="90" t="str">
        <f ca="1">VLOOKUP(B22,Questions!$D$4:$F$418,3,FALSE)</f>
        <v>Beschilderung am Fußgängerzugang (ja = 1; nein = 0)</v>
      </c>
      <c r="E22" s="61"/>
      <c r="F22" s="761"/>
      <c r="G22" s="15" t="str">
        <f>IF(COUNTIF(Question_YN_Yes,E22)&gt;0,1,IF(COUNTIF(Question_YN_No,E22)&gt;0,0,"NA"))</f>
        <v>NA</v>
      </c>
      <c r="H22" s="810"/>
      <c r="I22" s="842"/>
      <c r="J22" s="749"/>
    </row>
    <row r="23" spans="1:10" s="13" customFormat="1" ht="25" x14ac:dyDescent="0.35">
      <c r="A23" s="156" t="s">
        <v>1775</v>
      </c>
      <c r="B23" s="233" t="s">
        <v>1775</v>
      </c>
      <c r="C23" s="99"/>
      <c r="D23" s="100" t="str">
        <f ca="1">VLOOKUP(B23,Questions!$D$4:$F$418,3,FALSE)</f>
        <v>Stadtplan an zentraler Stelle in der Parkeinrichtung:
(an jedem Ausgang = 2; an einer Stelle = 1; keiner = 0)</v>
      </c>
      <c r="E23" s="63"/>
      <c r="F23" s="12">
        <v>2</v>
      </c>
      <c r="G23" s="421" t="str">
        <f>IF(COUNTIF(Q_8_10_Every,E23)&gt;0,2,(IF(COUNTIF(Q_8_10_One,E23)&gt;0,1,(IF(COUNTIF(Q_8_10_No,E23)&gt;0,0,"NA")))))</f>
        <v>NA</v>
      </c>
      <c r="H23" s="37">
        <f>F23/$I$30*$I$32</f>
        <v>0.48484848484848486</v>
      </c>
      <c r="I23" s="37">
        <f>IF(ISNUMBER(G23),G23/$I$30*$I$32,0)</f>
        <v>0</v>
      </c>
      <c r="J23" s="98"/>
    </row>
    <row r="24" spans="1:10" s="13" customFormat="1" x14ac:dyDescent="0.35">
      <c r="A24" s="843" t="s">
        <v>1776</v>
      </c>
      <c r="B24" s="233" t="s">
        <v>1776</v>
      </c>
      <c r="C24" s="217"/>
      <c r="D24" s="278" t="str">
        <f ca="1">VLOOKUP(B24,Questions!$D$4:$F$418,3,FALSE)</f>
        <v>Informationen zu:</v>
      </c>
      <c r="E24" s="279"/>
      <c r="F24" s="279"/>
      <c r="G24" s="280"/>
      <c r="H24" s="808">
        <f>F25/$I$30*$I$32</f>
        <v>0.48484848484848486</v>
      </c>
      <c r="I24" s="802">
        <f>IF(ISNUMBER(SUM(G25:G26)),SUM(G25:G26)/$I$30*$I$32,0)</f>
        <v>0</v>
      </c>
      <c r="J24" s="805"/>
    </row>
    <row r="25" spans="1:10" s="13" customFormat="1" ht="25" x14ac:dyDescent="0.35">
      <c r="A25" s="844"/>
      <c r="B25" s="233" t="s">
        <v>2705</v>
      </c>
      <c r="C25" s="218"/>
      <c r="D25" s="101" t="str">
        <f ca="1">VLOOKUP(B25,Questions!$D$4:$F$418,3,FALSE)</f>
        <v>zu wichtigen Sehenswürdigkeiten in der Nähe der Parkeinrichtung an den Ausgängen (ja = 1; nein = 0)</v>
      </c>
      <c r="E25" s="65"/>
      <c r="F25" s="838">
        <v>2</v>
      </c>
      <c r="G25" s="15" t="str">
        <f>IF(COUNTIF(Question_YN_Yes,E25)&gt;0,1,IF(COUNTIF(Question_YN_No,E25)&gt;0,0,"NA"))</f>
        <v>NA</v>
      </c>
      <c r="H25" s="809"/>
      <c r="I25" s="803"/>
      <c r="J25" s="806"/>
    </row>
    <row r="26" spans="1:10" s="13" customFormat="1" x14ac:dyDescent="0.35">
      <c r="A26" s="845"/>
      <c r="B26" s="233" t="s">
        <v>2706</v>
      </c>
      <c r="C26" s="259"/>
      <c r="D26" s="103" t="str">
        <f ca="1">VLOOKUP(B26,Questions!$D$4:$F$418,3,FALSE)</f>
        <v>zu den Fußgängerzugängen rund um die Parkeinrichtung (ja = 1; nein = 0)</v>
      </c>
      <c r="E26" s="65"/>
      <c r="F26" s="839"/>
      <c r="G26" s="15" t="str">
        <f>IF(COUNTIF(Question_YN_Yes,E26)&gt;0,1,IF(COUNTIF(Question_YN_No,E26)&gt;0,0,"NA"))</f>
        <v>NA</v>
      </c>
      <c r="H26" s="810"/>
      <c r="I26" s="804"/>
      <c r="J26" s="807"/>
    </row>
    <row r="27" spans="1:10" x14ac:dyDescent="0.35">
      <c r="A27" s="364"/>
      <c r="B27" s="78"/>
      <c r="C27" s="78"/>
      <c r="D27" s="85" t="str">
        <f ca="1">CONCATENATE(Tags!$B$50," ",$D$1)</f>
        <v>Zwischensummen Wegweisung innerhalb/außerhalb der Parkeinrichtung</v>
      </c>
      <c r="E27" s="106"/>
      <c r="F27" s="1">
        <f>SUM(F25,F20:F23,F17,F9:F15,F5)</f>
        <v>33</v>
      </c>
      <c r="G27" s="14">
        <f>SUM(G5:G7,G9:G15,G17:G18,G20:G23,G25:G26)</f>
        <v>0</v>
      </c>
      <c r="H27" s="7">
        <f>+H24+H23+H19+H16+H15+H14+H13+H12+H11+H8+H4</f>
        <v>8.0000000000000018</v>
      </c>
      <c r="I27" s="35">
        <f>SUM(I4:I26)</f>
        <v>0</v>
      </c>
      <c r="J27" s="105"/>
    </row>
    <row r="28" spans="1:10" x14ac:dyDescent="0.35"/>
    <row r="29" spans="1:10" s="13" customFormat="1" ht="13" customHeight="1" x14ac:dyDescent="0.35">
      <c r="A29" s="21"/>
      <c r="D29" s="145" t="str">
        <f ca="1">Tags!B30</f>
        <v>Summe der Positionen</v>
      </c>
      <c r="E29" s="77">
        <v>11</v>
      </c>
      <c r="G29" s="145" t="str">
        <f ca="1">Tags!B34</f>
        <v>Punktzahl</v>
      </c>
      <c r="I29" s="79">
        <f>G27</f>
        <v>0</v>
      </c>
      <c r="J29" s="715" t="str">
        <f ca="1">'Detailed Results'!M13</f>
        <v>unvollständig</v>
      </c>
    </row>
    <row r="30" spans="1:10" s="13" customFormat="1" ht="13" customHeight="1" x14ac:dyDescent="0.35">
      <c r="A30" s="21"/>
      <c r="D30" s="145" t="str">
        <f ca="1">Tags!B31</f>
        <v>Summe der Positionen und Unterpositionen</v>
      </c>
      <c r="E30" s="77">
        <v>18</v>
      </c>
      <c r="G30" s="145" t="str">
        <f ca="1">Tags!B35</f>
        <v>Maximale Punktzahl</v>
      </c>
      <c r="I30" s="79">
        <f>F27</f>
        <v>33</v>
      </c>
      <c r="J30" s="716"/>
    </row>
    <row r="31" spans="1:10" s="13" customFormat="1" ht="13" customHeight="1" x14ac:dyDescent="0.35">
      <c r="A31" s="21"/>
      <c r="D31" s="145" t="str">
        <f ca="1">Tags!B32</f>
        <v>vollständige Positionen</v>
      </c>
      <c r="E31" s="79">
        <f>COUNTA(E5:E7,E9:E15,E17:E18,E20:E23,E25:E26)</f>
        <v>0</v>
      </c>
      <c r="G31" s="145" t="str">
        <f ca="1">Tags!B36</f>
        <v>Prozentsatz</v>
      </c>
      <c r="I31" s="80">
        <f>I29/I30</f>
        <v>0</v>
      </c>
      <c r="J31" s="716"/>
    </row>
    <row r="32" spans="1:10" s="13" customFormat="1" ht="13" customHeight="1" x14ac:dyDescent="0.35">
      <c r="A32" s="21"/>
      <c r="D32" s="145" t="str">
        <f ca="1">Tags!B33</f>
        <v>nicht gemessen</v>
      </c>
      <c r="E32" s="79">
        <f>E30-E31</f>
        <v>18</v>
      </c>
      <c r="G32" s="145" t="str">
        <f ca="1">Tags!B37</f>
        <v>Wert der Kategorie</v>
      </c>
      <c r="I32" s="79">
        <f>VLOOKUP(A1,'Detailed Results'!$A$7:$M$15,11)</f>
        <v>8</v>
      </c>
      <c r="J32" s="717"/>
    </row>
    <row r="33" spans="1:3" x14ac:dyDescent="0.35"/>
    <row r="34" spans="1:3" x14ac:dyDescent="0.35"/>
    <row r="35" spans="1:3" ht="15.5" x14ac:dyDescent="0.35">
      <c r="A35" s="365" t="str">
        <f ca="1">Tags!B60</f>
        <v>Anmerkungen</v>
      </c>
      <c r="B35" s="107"/>
      <c r="C35" s="107"/>
    </row>
    <row r="36" spans="1:3" x14ac:dyDescent="0.35"/>
    <row r="37" spans="1:3" x14ac:dyDescent="0.35"/>
    <row r="38" spans="1:3" x14ac:dyDescent="0.35"/>
    <row r="39" spans="1:3" x14ac:dyDescent="0.35"/>
    <row r="40" spans="1:3" x14ac:dyDescent="0.35"/>
    <row r="41" spans="1:3" x14ac:dyDescent="0.35"/>
    <row r="42" spans="1:3" x14ac:dyDescent="0.35"/>
    <row r="43" spans="1:3" x14ac:dyDescent="0.35"/>
    <row r="44" spans="1:3" x14ac:dyDescent="0.35"/>
    <row r="45" spans="1:3" x14ac:dyDescent="0.35"/>
    <row r="46" spans="1:3" x14ac:dyDescent="0.35"/>
    <row r="47" spans="1:3" x14ac:dyDescent="0.35"/>
    <row r="48" spans="1:3"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sheetProtection algorithmName="SHA-512" hashValue="09Ns++yth/HWk32oO5MBFH7eDaU51bE4JwNL9swtlDf3e6Re+tn+MiFl9zbvAvTxkrh1o0z58ZJuXlzN7S8tCQ==" saltValue="DyKCPz7hoE7ytszPeQXkng==" spinCount="100000" sheet="1" formatRows="0" selectLockedCells="1"/>
  <mergeCells count="26">
    <mergeCell ref="J29:J32"/>
    <mergeCell ref="A4:A7"/>
    <mergeCell ref="H4:H7"/>
    <mergeCell ref="I4:I7"/>
    <mergeCell ref="J4:J7"/>
    <mergeCell ref="F5:F7"/>
    <mergeCell ref="F25:F26"/>
    <mergeCell ref="A24:A26"/>
    <mergeCell ref="H24:H26"/>
    <mergeCell ref="I24:I26"/>
    <mergeCell ref="J24:J26"/>
    <mergeCell ref="F17:F18"/>
    <mergeCell ref="J8:J10"/>
    <mergeCell ref="F9:F10"/>
    <mergeCell ref="A19:A22"/>
    <mergeCell ref="H19:H22"/>
    <mergeCell ref="I19:I22"/>
    <mergeCell ref="A8:A10"/>
    <mergeCell ref="H8:H10"/>
    <mergeCell ref="I8:I10"/>
    <mergeCell ref="J19:J22"/>
    <mergeCell ref="F20:F22"/>
    <mergeCell ref="A16:A18"/>
    <mergeCell ref="H16:H18"/>
    <mergeCell ref="I16:I18"/>
    <mergeCell ref="J16:J18"/>
  </mergeCells>
  <phoneticPr fontId="24" type="noConversion"/>
  <conditionalFormatting sqref="E5:E7">
    <cfRule type="expression" dxfId="31" priority="25">
      <formula>($E$4="Yes")</formula>
    </cfRule>
  </conditionalFormatting>
  <conditionalFormatting sqref="E11:E15">
    <cfRule type="expression" dxfId="30" priority="29">
      <formula>($E$8="Yes")</formula>
    </cfRule>
  </conditionalFormatting>
  <conditionalFormatting sqref="E17:E18">
    <cfRule type="expression" dxfId="29" priority="2">
      <formula>($E$4="Yes")</formula>
    </cfRule>
  </conditionalFormatting>
  <conditionalFormatting sqref="E20:E22">
    <cfRule type="expression" dxfId="28" priority="1">
      <formula>($E$4="Yes")</formula>
    </cfRule>
  </conditionalFormatting>
  <conditionalFormatting sqref="J29:J32">
    <cfRule type="expression" dxfId="26" priority="51">
      <formula>#REF!="Fail"</formula>
    </cfRule>
    <cfRule type="expression" dxfId="25" priority="52">
      <formula>(#REF!="Pass")</formula>
    </cfRule>
  </conditionalFormatting>
  <dataValidations count="1">
    <dataValidation type="list" allowBlank="1" showInputMessage="1" showErrorMessage="1" sqref="E15 E25:E26 E17 E20 E22" xr:uid="{00000000-0002-0000-0A00-000000000000}">
      <formula1>YesNo</formula1>
    </dataValidation>
  </dataValidations>
  <printOptions horizontalCentered="1"/>
  <pageMargins left="0.71" right="0.71" top="0.75000000000000011" bottom="0.75000000000000011" header="0.31" footer="0.31"/>
  <pageSetup paperSize="9" scale="45"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7" id="{1D38979C-2DC9-DF4F-A249-4CE1B213782D}">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1000000}">
          <x14:formula1>
            <xm:f>Answers!$B$172:$B$173</xm:f>
          </x14:formula1>
          <xm:sqref>E5:E7</xm:sqref>
        </x14:dataValidation>
        <x14:dataValidation type="list" allowBlank="1" showInputMessage="1" showErrorMessage="1" xr:uid="{00000000-0002-0000-0A00-000002000000}">
          <x14:formula1>
            <xm:f>Answers!$B$175:$B$178</xm:f>
          </x14:formula1>
          <xm:sqref>E9:E10</xm:sqref>
        </x14:dataValidation>
        <x14:dataValidation type="list" allowBlank="1" showInputMessage="1" showErrorMessage="1" xr:uid="{00000000-0002-0000-0A00-000003000000}">
          <x14:formula1>
            <xm:f>Answers!$B$180:$B$183</xm:f>
          </x14:formula1>
          <xm:sqref>E11</xm:sqref>
        </x14:dataValidation>
        <x14:dataValidation type="list" allowBlank="1" showInputMessage="1" showErrorMessage="1" xr:uid="{00000000-0002-0000-0A00-000004000000}">
          <x14:formula1>
            <xm:f>Answers!$B$191:$B$193</xm:f>
          </x14:formula1>
          <xm:sqref>E13</xm:sqref>
        </x14:dataValidation>
        <x14:dataValidation type="list" allowBlank="1" showInputMessage="1" showErrorMessage="1" xr:uid="{00000000-0002-0000-0A00-000005000000}">
          <x14:formula1>
            <xm:f>Answers!$B$195:$B$197</xm:f>
          </x14:formula1>
          <xm:sqref>E14</xm:sqref>
        </x14:dataValidation>
        <x14:dataValidation type="list" allowBlank="1" showInputMessage="1" showErrorMessage="1" xr:uid="{00000000-0002-0000-0A00-000006000000}">
          <x14:formula1>
            <xm:f>Answers!$B$203:$B$205</xm:f>
          </x14:formula1>
          <xm:sqref>E23</xm:sqref>
        </x14:dataValidation>
        <x14:dataValidation type="list" allowBlank="1" showInputMessage="1" showErrorMessage="1" xr:uid="{00000000-0002-0000-0A00-000007000000}">
          <x14:formula1>
            <xm:f>Answers!$B$185:$B$189</xm:f>
          </x14:formula1>
          <xm:sqref>E12</xm:sqref>
        </x14:dataValidation>
        <x14:dataValidation type="list" allowBlank="1" showInputMessage="1" showErrorMessage="1" xr:uid="{4DF05AD7-9366-5C47-88D7-D92F0F22947A}">
          <x14:formula1>
            <xm:f>Answers!$B$199:$B$201</xm:f>
          </x14:formula1>
          <xm:sqref>E18 E21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S90"/>
  <sheetViews>
    <sheetView showGridLines="0" zoomScale="90" zoomScaleNormal="90" workbookViewId="0">
      <selection activeCell="J4" sqref="J4:J7"/>
    </sheetView>
  </sheetViews>
  <sheetFormatPr baseColWidth="10" defaultColWidth="10.81640625" defaultRowHeight="14.5" zeroHeight="1" x14ac:dyDescent="0.35"/>
  <cols>
    <col min="1" max="1" width="4.81640625" style="233" customWidth="1"/>
    <col min="2" max="2" width="6.1796875" style="4" hidden="1" customWidth="1"/>
    <col min="3" max="3" width="4.81640625" style="4" hidden="1" customWidth="1"/>
    <col min="4" max="4" width="58" style="4" customWidth="1"/>
    <col min="5" max="5" width="15.26953125" style="4" customWidth="1"/>
    <col min="6" max="6" width="11" style="233" customWidth="1"/>
    <col min="7" max="7" width="11" style="4" customWidth="1"/>
    <col min="8" max="8" width="15.81640625" style="4" customWidth="1"/>
    <col min="9" max="9" width="12.453125" style="4" customWidth="1"/>
    <col min="10" max="10" width="48.453125" style="4" customWidth="1"/>
    <col min="11" max="12" width="10.81640625" style="4"/>
    <col min="13" max="13" width="12.1796875" style="4" bestFit="1" customWidth="1"/>
    <col min="14" max="16383" width="10.81640625" style="4"/>
    <col min="16384" max="16384" width="1.81640625" style="4" customWidth="1"/>
  </cols>
  <sheetData>
    <row r="1" spans="1:16" s="13" customFormat="1" ht="28" customHeight="1" thickBot="1" x14ac:dyDescent="0.4">
      <c r="A1" s="481">
        <v>9</v>
      </c>
      <c r="B1" s="482"/>
      <c r="C1" s="482"/>
      <c r="D1" s="466" t="str">
        <f ca="1">VLOOKUP(A1,Questions!$D$4:$F$418,3,FALSE)</f>
        <v>Komfort und Verschiedenes</v>
      </c>
      <c r="E1" s="483"/>
      <c r="F1" s="484"/>
      <c r="G1" s="485" t="str">
        <f ca="1">IF(E52&gt;0,Tags!B21,Tags!B20)</f>
        <v>unvollständig</v>
      </c>
      <c r="H1" s="486" t="s">
        <v>485</v>
      </c>
      <c r="I1" s="487">
        <f>I51*I52</f>
        <v>0.54545454545454541</v>
      </c>
      <c r="J1" s="488">
        <f>I51</f>
        <v>6.8181818181818177E-2</v>
      </c>
    </row>
    <row r="2" spans="1:16" s="13" customFormat="1" ht="13" customHeight="1" x14ac:dyDescent="0.35">
      <c r="A2" s="21"/>
      <c r="F2" s="21"/>
    </row>
    <row r="3" spans="1:16" ht="42" x14ac:dyDescent="0.35">
      <c r="A3" s="323">
        <v>9</v>
      </c>
      <c r="B3" s="11"/>
      <c r="C3" s="11"/>
      <c r="D3" s="10" t="str">
        <f ca="1">Tags!B55</f>
        <v>Positionsliste</v>
      </c>
      <c r="E3" s="56" t="str">
        <f ca="1">Tags!B56</f>
        <v>Messwerte</v>
      </c>
      <c r="F3" s="6" t="str">
        <f ca="1">G50</f>
        <v>Maximale Punktzahl</v>
      </c>
      <c r="G3" s="6" t="str">
        <f ca="1">G49</f>
        <v>Punktzahl</v>
      </c>
      <c r="H3" s="327" t="str">
        <f ca="1">Tags!B57</f>
        <v>maximaler Beitrag zum Endergebnis</v>
      </c>
      <c r="I3" s="327" t="str">
        <f ca="1">Tags!B58</f>
        <v>Beitrag zum Endergebnis</v>
      </c>
      <c r="J3" s="327" t="str">
        <f ca="1">Tags!B59</f>
        <v>Anmerkungen</v>
      </c>
    </row>
    <row r="4" spans="1:16" x14ac:dyDescent="0.35">
      <c r="A4" s="848" t="s">
        <v>62</v>
      </c>
      <c r="B4" s="93" t="s">
        <v>2837</v>
      </c>
      <c r="C4" s="93"/>
      <c r="D4" s="865" t="str">
        <f ca="1">VLOOKUP(B4,Questions!$D$4:$F$418,3,FALSE)</f>
        <v>Hinweisbeschilderung an den Fußgängerzu-/ausgängen bzgl.:</v>
      </c>
      <c r="E4" s="866"/>
      <c r="F4" s="866"/>
      <c r="G4" s="867"/>
      <c r="H4" s="846">
        <f>F5/$I$50*$I$52</f>
        <v>0.54545454545454541</v>
      </c>
      <c r="I4" s="846">
        <f>IF(ISNUMBER(SUM(G5:G7)),SUM(G5:G7)/$I$50*$I$52,0)</f>
        <v>0</v>
      </c>
      <c r="J4" s="747"/>
    </row>
    <row r="5" spans="1:16" x14ac:dyDescent="0.35">
      <c r="A5" s="783"/>
      <c r="B5" s="94" t="s">
        <v>2708</v>
      </c>
      <c r="C5" s="94"/>
      <c r="D5" s="90" t="str">
        <f ca="1">VLOOKUP(B5,Questions!$D$4:$F$418,3,FALSE)</f>
        <v>normale/besondere Öffnungszeitene (ja = 1; nein = 0)</v>
      </c>
      <c r="E5" s="64"/>
      <c r="F5" s="742">
        <v>3</v>
      </c>
      <c r="G5" s="15" t="str">
        <f>IF(COUNTIF(Question_YN_Yes,E5)&gt;0,1,IF(COUNTIF(Question_YN_No,E5)&gt;0,0,"NA"))</f>
        <v>NA</v>
      </c>
      <c r="H5" s="786"/>
      <c r="I5" s="786"/>
      <c r="J5" s="748"/>
    </row>
    <row r="6" spans="1:16" x14ac:dyDescent="0.35">
      <c r="A6" s="783"/>
      <c r="B6" s="94" t="s">
        <v>2709</v>
      </c>
      <c r="C6" s="94"/>
      <c r="D6" s="90" t="str">
        <f ca="1">VLOOKUP(B6,Questions!$D$4:$F$418,3,FALSE)</f>
        <v>Lesbare und verständliche Tarifauszeichnung (ja = 1; nein = 0)</v>
      </c>
      <c r="E6" s="61"/>
      <c r="F6" s="743"/>
      <c r="G6" s="15" t="str">
        <f>IF(COUNTIF(Question_YN_Yes,E6)&gt;0,1,IF(COUNTIF(Question_YN_No,E6)&gt;0,0,"NA"))</f>
        <v>NA</v>
      </c>
      <c r="H6" s="786"/>
      <c r="I6" s="786"/>
      <c r="J6" s="748"/>
    </row>
    <row r="7" spans="1:16" x14ac:dyDescent="0.35">
      <c r="A7" s="783"/>
      <c r="B7" s="94" t="s">
        <v>2710</v>
      </c>
      <c r="C7" s="94"/>
      <c r="D7" s="90" t="str">
        <f ca="1">VLOOKUP(B7,Questions!$D$4:$F$418,3,FALSE)</f>
        <v>Geschäftsbedingungen des Betreibers (ja = 1; nein = 0)</v>
      </c>
      <c r="E7" s="61"/>
      <c r="F7" s="733"/>
      <c r="G7" s="15" t="str">
        <f>IF(COUNTIF(Question_YN_Yes,E7)&gt;0,1,IF(COUNTIF(Question_YN_No,E7)&gt;0,0,"NA"))</f>
        <v>NA</v>
      </c>
      <c r="H7" s="847"/>
      <c r="I7" s="847"/>
      <c r="J7" s="749"/>
    </row>
    <row r="8" spans="1:16" x14ac:dyDescent="0.35">
      <c r="A8" s="843" t="s">
        <v>63</v>
      </c>
      <c r="B8" s="257" t="s">
        <v>2727</v>
      </c>
      <c r="C8" s="257"/>
      <c r="D8" s="868" t="str">
        <f ca="1">VLOOKUP(B8,Questions!$D$4:$F$418,3,FALSE)</f>
        <v>Bezahlmöglichkeiten (Bezahlung an der Ausfahrt / am Kassenautomaten):</v>
      </c>
      <c r="E8" s="869"/>
      <c r="F8" s="869"/>
      <c r="G8" s="870"/>
      <c r="H8" s="846">
        <f>F9/$I$50*$I$52</f>
        <v>1.2727272727272727</v>
      </c>
      <c r="I8" s="835">
        <f>IF(ISNUMBER(SUM(G9:G13)),SUM(G9:G13)/$I$50*$I$52,0)</f>
        <v>0.54545454545454541</v>
      </c>
      <c r="J8" s="880"/>
    </row>
    <row r="9" spans="1:16" x14ac:dyDescent="0.35">
      <c r="A9" s="844"/>
      <c r="B9" s="258" t="s">
        <v>2707</v>
      </c>
      <c r="C9" s="258"/>
      <c r="D9" s="90" t="str">
        <f ca="1">VLOOKUP(B9,Questions!$D$4:$F$418,3,FALSE)</f>
        <v>Bargeld (ja = 1; nein = 0)</v>
      </c>
      <c r="E9" s="65"/>
      <c r="F9" s="838">
        <v>7</v>
      </c>
      <c r="G9" s="15" t="str">
        <f>IF(COUNTIF(Question_YN_Yes,E9)&gt;0,1,IF(COUNTIF(Question_YN_No,E9)&gt;0,0,"NA"))</f>
        <v>NA</v>
      </c>
      <c r="H9" s="786"/>
      <c r="I9" s="836"/>
      <c r="J9" s="789"/>
    </row>
    <row r="10" spans="1:16" x14ac:dyDescent="0.35">
      <c r="A10" s="844"/>
      <c r="B10" s="258" t="s">
        <v>2711</v>
      </c>
      <c r="C10" s="258"/>
      <c r="D10" s="90" t="str">
        <f ca="1">VLOOKUP(B10,Questions!$D$4:$F$418,3,FALSE)</f>
        <v>Nationale Bankkarten (ja = 1; nein = 0)</v>
      </c>
      <c r="E10" s="65"/>
      <c r="F10" s="827"/>
      <c r="G10" s="15" t="str">
        <f>IF(COUNTIF(Question_YN_Yes,E10)&gt;0,1,IF(COUNTIF(Question_YN_No,E10)&gt;0,0,"NA"))</f>
        <v>NA</v>
      </c>
      <c r="H10" s="786"/>
      <c r="I10" s="836"/>
      <c r="J10" s="789"/>
    </row>
    <row r="11" spans="1:16" x14ac:dyDescent="0.35">
      <c r="A11" s="844"/>
      <c r="B11" s="258" t="s">
        <v>2712</v>
      </c>
      <c r="C11" s="258"/>
      <c r="D11" s="90" t="str">
        <f ca="1">VLOOKUP(B11,Questions!$D$4:$F$418,3,FALSE)</f>
        <v>Internationale Debit und Kreditkarten (ja = 1; nein = 0)</v>
      </c>
      <c r="E11" s="65"/>
      <c r="F11" s="827"/>
      <c r="G11" s="15" t="str">
        <f>IF(COUNTIF(Question_YN_Yes,E11)&gt;0,1,IF(COUNTIF(Question_YN_No,E11)&gt;0,0,"NA"))</f>
        <v>NA</v>
      </c>
      <c r="H11" s="786"/>
      <c r="I11" s="836"/>
      <c r="J11" s="789"/>
      <c r="M11" s="431"/>
      <c r="N11" s="431"/>
      <c r="O11" s="431"/>
      <c r="P11" s="431"/>
    </row>
    <row r="12" spans="1:16" x14ac:dyDescent="0.35">
      <c r="A12" s="844"/>
      <c r="B12" s="258" t="s">
        <v>2713</v>
      </c>
      <c r="C12" s="258"/>
      <c r="D12" s="90" t="str">
        <f ca="1">VLOOKUP(B12,Questions!$D$4:$F$418,3,FALSE)</f>
        <v>Bezahlung über Smartphone (ja = 1; nein = 0)</v>
      </c>
      <c r="E12" s="65"/>
      <c r="F12" s="827"/>
      <c r="G12" s="15" t="str">
        <f>IF(COUNTIF(Question_YN_Yes,E12)&gt;0,1,IF(COUNTIF(Question_YN_No,E12)&gt;0,0,"NA"))</f>
        <v>NA</v>
      </c>
      <c r="H12" s="786"/>
      <c r="I12" s="836"/>
      <c r="J12" s="789"/>
      <c r="L12" s="432"/>
      <c r="M12" s="432"/>
      <c r="N12" s="432"/>
      <c r="O12" s="432"/>
      <c r="P12" s="432"/>
    </row>
    <row r="13" spans="1:16" ht="25" x14ac:dyDescent="0.35">
      <c r="A13" s="844"/>
      <c r="B13" s="258" t="s">
        <v>2714</v>
      </c>
      <c r="C13" s="258"/>
      <c r="D13" s="274" t="str">
        <f ca="1">VLOOKUP(B13,Questions!$D$4:$F$418,3,FALSE)</f>
        <v>andere Bezahlmöglichkeiten? Wie viele? (1 Punkt für jede zusätzliche Option, max. 3 Punkte)</v>
      </c>
      <c r="E13" s="377"/>
      <c r="F13" s="827"/>
      <c r="G13" s="15">
        <f>MAX(0,MIN(E13,3))</f>
        <v>3</v>
      </c>
      <c r="H13" s="847"/>
      <c r="I13" s="837"/>
      <c r="J13" s="790"/>
    </row>
    <row r="14" spans="1:16" x14ac:dyDescent="0.35">
      <c r="A14" s="871" t="s">
        <v>64</v>
      </c>
      <c r="B14" s="378" t="s">
        <v>2719</v>
      </c>
      <c r="C14" s="380"/>
      <c r="D14" s="829" t="str">
        <f ca="1">VLOOKUP(B14,Questions!$D$4:$F$418,3,FALSE)</f>
        <v xml:space="preserve">Bezahlmöglichkeiten an der Ausfahrt: </v>
      </c>
      <c r="E14" s="830"/>
      <c r="F14" s="830"/>
      <c r="G14" s="859"/>
      <c r="H14" s="846">
        <f>F15/$I$50*$I$52</f>
        <v>1.0909090909090908</v>
      </c>
      <c r="I14" s="835">
        <f>IF(ISNUMBER(SUM(G15:G20)),SUM(G15:G20)/$I$50*$I$52,0)</f>
        <v>0</v>
      </c>
      <c r="J14" s="788"/>
      <c r="M14" s="433"/>
    </row>
    <row r="15" spans="1:16" x14ac:dyDescent="0.35">
      <c r="A15" s="872"/>
      <c r="B15" s="258" t="s">
        <v>2715</v>
      </c>
      <c r="C15" s="348"/>
      <c r="D15" s="382" t="str">
        <f ca="1">VLOOKUP(B15,Questions!$D$4:$F$418,3,FALSE)</f>
        <v>Nationale Bankkarten (ja = 1; nein = 0)</v>
      </c>
      <c r="E15" s="366"/>
      <c r="F15" s="826">
        <v>6</v>
      </c>
      <c r="G15" s="15" t="str">
        <f t="shared" ref="G15:G20" si="0">IF(COUNTIF(Question_YN_Yes,E15)&gt;0,1,IF(COUNTIF(Question_YN_No,E15)&gt;0,0,"NA"))</f>
        <v>NA</v>
      </c>
      <c r="H15" s="786"/>
      <c r="I15" s="836"/>
      <c r="J15" s="789"/>
    </row>
    <row r="16" spans="1:16" x14ac:dyDescent="0.35">
      <c r="A16" s="872"/>
      <c r="B16" s="258" t="s">
        <v>2838</v>
      </c>
      <c r="C16" s="348"/>
      <c r="D16" s="382" t="str">
        <f ca="1">VLOOKUP(B16,Questions!$D$4:$F$418,3,FALSE)</f>
        <v>Internationale Debit und Kreditkarten (ja = 1; nein = 0)</v>
      </c>
      <c r="E16" s="366"/>
      <c r="F16" s="827"/>
      <c r="G16" s="15" t="str">
        <f t="shared" si="0"/>
        <v>NA</v>
      </c>
      <c r="H16" s="786"/>
      <c r="I16" s="836"/>
      <c r="J16" s="789"/>
    </row>
    <row r="17" spans="1:19" ht="25" x14ac:dyDescent="0.35">
      <c r="A17" s="872"/>
      <c r="B17" s="258" t="s">
        <v>2839</v>
      </c>
      <c r="C17" s="348"/>
      <c r="D17" s="382" t="str">
        <f ca="1">VLOOKUP(B17,Questions!$D$4:$F$418,3,FALSE)</f>
        <v>Kennzeichenerkennung verbunden mit einem Kunden-/Bankkonto oder einer App (ja = 1; nein = 0)</v>
      </c>
      <c r="E17" s="366"/>
      <c r="F17" s="827"/>
      <c r="G17" s="15" t="str">
        <f t="shared" si="0"/>
        <v>NA</v>
      </c>
      <c r="H17" s="786"/>
      <c r="I17" s="836"/>
      <c r="J17" s="789"/>
    </row>
    <row r="18" spans="1:19" ht="15.5" x14ac:dyDescent="0.65">
      <c r="A18" s="872"/>
      <c r="B18" s="258" t="s">
        <v>2840</v>
      </c>
      <c r="C18" s="348"/>
      <c r="D18" s="382" t="str">
        <f ca="1">VLOOKUP(B18,Questions!$D$4:$F$418,3,FALSE)</f>
        <v>RFID Einheit verbunden mit einem Kunden-/Bankkonto oder einer App (ja = 1; nein = 0)</v>
      </c>
      <c r="E18" s="366"/>
      <c r="F18" s="827"/>
      <c r="G18" s="15" t="str">
        <f t="shared" si="0"/>
        <v>NA</v>
      </c>
      <c r="H18" s="786"/>
      <c r="I18" s="836"/>
      <c r="J18" s="789"/>
      <c r="M18" s="434"/>
      <c r="N18" s="434"/>
      <c r="O18" s="434"/>
      <c r="P18" s="434"/>
      <c r="Q18" s="434"/>
      <c r="R18" s="434"/>
    </row>
    <row r="19" spans="1:19" ht="25" x14ac:dyDescent="0.65">
      <c r="A19" s="872"/>
      <c r="B19" s="258" t="s">
        <v>2841</v>
      </c>
      <c r="C19" s="348"/>
      <c r="D19" s="382" t="str">
        <f ca="1">VLOOKUP(B19,Questions!$D$4:$F$418,3,FALSE)</f>
        <v>Akzeptanz eines nationalen allgemeinen Verkehrsdienstes (z.B. Mautsystem, Öffentlicher Verkehr) (ja = 1 ; nein = 0)</v>
      </c>
      <c r="E19" s="366"/>
      <c r="F19" s="827"/>
      <c r="G19" s="15" t="str">
        <f t="shared" si="0"/>
        <v>NA</v>
      </c>
      <c r="H19" s="786"/>
      <c r="I19" s="836"/>
      <c r="J19" s="789"/>
      <c r="M19" s="435"/>
      <c r="N19" s="436"/>
      <c r="O19" s="436"/>
      <c r="P19" s="436"/>
      <c r="Q19" s="436"/>
      <c r="R19" s="436"/>
      <c r="S19" s="437"/>
    </row>
    <row r="20" spans="1:19" ht="15.5" x14ac:dyDescent="0.65">
      <c r="A20" s="873"/>
      <c r="B20" s="379" t="s">
        <v>2842</v>
      </c>
      <c r="C20" s="381"/>
      <c r="D20" s="383" t="str">
        <f ca="1">VLOOKUP(B20,Questions!$D$4:$F$418,3,FALSE)</f>
        <v>Bezahlung über Smartphone (ja = 1; nein = 0)</v>
      </c>
      <c r="E20" s="367"/>
      <c r="F20" s="828"/>
      <c r="G20" s="15" t="str">
        <f t="shared" si="0"/>
        <v>NA</v>
      </c>
      <c r="H20" s="847"/>
      <c r="I20" s="837"/>
      <c r="J20" s="790"/>
      <c r="M20" s="435"/>
      <c r="N20" s="436"/>
      <c r="O20" s="436"/>
      <c r="P20" s="436"/>
      <c r="Q20" s="436"/>
      <c r="R20" s="436"/>
      <c r="S20" s="437"/>
    </row>
    <row r="21" spans="1:19" ht="50" x14ac:dyDescent="0.35">
      <c r="A21" s="393" t="s">
        <v>65</v>
      </c>
      <c r="B21" s="385" t="s">
        <v>65</v>
      </c>
      <c r="C21" s="385"/>
      <c r="D21" s="386" t="str">
        <f ca="1">VLOOKUP(B21,Questions!$D$4:$F$418,3,FALSE)</f>
        <v>Schrankenöffnung an der Einfahrt startet automatisch eine ticketlose Transaktion mit automatischer Bezahlung: Steuerung über App, angeschlossen an ein Bezahlmittel ja = 1, nein = 0; bei Einsatz einer Kennzeichenerkennung: 1 Punkt zusätzlich</v>
      </c>
      <c r="E21" s="387"/>
      <c r="F21" s="403">
        <v>2</v>
      </c>
      <c r="G21" s="388" t="str">
        <f>IF(COUNTIF(Q_9_4_Yes,E21)&gt;0,1,(IF(COUNTIF(Q_9_4_No,E21)&gt;0,0,(IF(COUNTIF(Q_9_4_ANPR,E21)&gt;0,2,"NA")))))</f>
        <v>NA</v>
      </c>
      <c r="H21" s="417">
        <f>F21/$I$50*$I$52</f>
        <v>0.36363636363636365</v>
      </c>
      <c r="I21" s="411">
        <f>IF(ISNUMBER(SUM(G21)),SUM(G21)/$I$50*$I$52,0)</f>
        <v>0</v>
      </c>
      <c r="J21" s="547"/>
      <c r="N21" s="437"/>
    </row>
    <row r="22" spans="1:19" x14ac:dyDescent="0.35">
      <c r="A22" s="874" t="s">
        <v>66</v>
      </c>
      <c r="B22" s="348" t="s">
        <v>2914</v>
      </c>
      <c r="C22" s="381"/>
      <c r="D22" s="744" t="str">
        <f ca="1">VLOOKUP(B22,Questions!$D$4:$F$418,3,FALSE)</f>
        <v>Bezahlpunkte</v>
      </c>
      <c r="E22" s="745"/>
      <c r="F22" s="745"/>
      <c r="G22" s="858"/>
      <c r="H22" s="412"/>
      <c r="I22" s="430"/>
      <c r="J22" s="547"/>
      <c r="N22" s="437"/>
    </row>
    <row r="23" spans="1:19" s="13" customFormat="1" ht="15.5" x14ac:dyDescent="0.35">
      <c r="A23" s="875"/>
      <c r="B23" s="233" t="s">
        <v>2716</v>
      </c>
      <c r="C23" s="264"/>
      <c r="D23" s="440" t="str">
        <f ca="1">VLOOKUP(B23,Questions!$D$4:$F$418,3,FALSE)</f>
        <v>Bewirtschaftung mit Parkscheinautomaten (Pay &amp; Display)?</v>
      </c>
      <c r="E23" s="443"/>
      <c r="F23" s="441"/>
      <c r="G23" s="442"/>
      <c r="H23" s="846">
        <f>F24/$I$50*$I$52</f>
        <v>0.54545454545454541</v>
      </c>
      <c r="I23" s="861">
        <f>IF(ISNUMBER(IF(E23=Answers!B23,'9. Comfort'!G25,IF(E23=Answers!B24,'9. Comfort'!G24,0))),IF(E23=Answers!B23,'9. Comfort'!G25,IF(E23=Answers!B24,'9. Comfort'!G24,0))/$I$50*$I$52,0)</f>
        <v>0</v>
      </c>
      <c r="J23" s="884"/>
    </row>
    <row r="24" spans="1:19" s="13" customFormat="1" ht="50" x14ac:dyDescent="0.35">
      <c r="A24" s="875"/>
      <c r="B24" s="391" t="s">
        <v>2717</v>
      </c>
      <c r="C24" s="99"/>
      <c r="D24" s="438" t="str">
        <f ca="1">VLOOKUP(B24,Questions!$D$4:$F$418,3,FALSE)</f>
        <v>Anzahl der Bezahlmöglichkeiten in einer Parkeinrichtung mit Schrankenanlage (eine Bezahlmöglichkeit = 0; mehr als eine = 1; eine an jedem Zugang für Fußgänger außer Notausgänge = 2; mehr als einer an jedem Zugang für Fußgänger = 3)</v>
      </c>
      <c r="E24" s="439"/>
      <c r="F24" s="795">
        <v>3</v>
      </c>
      <c r="G24" s="585" t="str">
        <f>IF(COUNTIF(Q_9_5_1_One,E24)&gt;0,0,(IF(COUNTIF(Q_9_5_1_more_than_one,E24)&gt;0,1,(IF(COUNTIF(Q_9_5_1_One_each,E24)&gt;0,2,(IF(COUNTIF(Q_9_5_1_more_than_one_Each,E24)&gt;0,3,"NA")))))))</f>
        <v>NA</v>
      </c>
      <c r="H24" s="786"/>
      <c r="I24" s="862"/>
      <c r="J24" s="885"/>
    </row>
    <row r="25" spans="1:19" s="13" customFormat="1" ht="25" x14ac:dyDescent="0.35">
      <c r="A25" s="876"/>
      <c r="B25" s="392" t="s">
        <v>2718</v>
      </c>
      <c r="C25" s="217"/>
      <c r="D25" s="390" t="str">
        <f ca="1">VLOOKUP(B25,Questions!$D$4:$F$418,3,FALSE)</f>
        <v>Anzahl der Bezahlmöglichkeien in einer Parkeinrichtung mit Parkscheinautomaten (1 = 0; &lt; 1 pro 50 Stellplätze = 2; &gt; 1 pro 50 Stellplätze = 3)</v>
      </c>
      <c r="E25" s="367"/>
      <c r="F25" s="796"/>
      <c r="G25" s="595" t="str">
        <f>IF(COUNTIF(Q_9_5_2_One,E25)&gt;0,0,(IF(COUNTIF(Q_9_5_2_One_every_50,E25)&gt;0,2,(IF(COUNTIF(Q_9_5_2_More_One_Every_50,E25)&gt;0,3,"NA")))))</f>
        <v>NA</v>
      </c>
      <c r="H25" s="847"/>
      <c r="I25" s="863"/>
      <c r="J25" s="886"/>
    </row>
    <row r="26" spans="1:19" s="13" customFormat="1" ht="14" x14ac:dyDescent="0.35">
      <c r="A26" s="843" t="s">
        <v>67</v>
      </c>
      <c r="B26" s="217" t="s">
        <v>2720</v>
      </c>
      <c r="C26" s="217"/>
      <c r="D26" s="829" t="str">
        <f ca="1">VLOOKUP(B26,Questions!$D$4:$F$418,3,FALSE)</f>
        <v>Kunden-WC:</v>
      </c>
      <c r="E26" s="830"/>
      <c r="F26" s="830"/>
      <c r="G26" s="859"/>
      <c r="H26" s="846">
        <f>F27/$I$50*$I$52</f>
        <v>0.90909090909090906</v>
      </c>
      <c r="I26" s="835">
        <f>IF(ISNUMBER(SUM(G27:G30)),SUM(G27:G30)/$I$50*$I$52,0)</f>
        <v>0</v>
      </c>
      <c r="J26" s="789"/>
    </row>
    <row r="27" spans="1:19" s="13" customFormat="1" ht="14" x14ac:dyDescent="0.35">
      <c r="A27" s="844"/>
      <c r="B27" s="217" t="s">
        <v>2721</v>
      </c>
      <c r="C27" s="217"/>
      <c r="D27" s="389" t="str">
        <f ca="1">VLOOKUP(B27,Questions!$D$4:$F$418,3,FALSE)</f>
        <v>Vorhanden (ja =2; nein = 0)</v>
      </c>
      <c r="E27" s="593"/>
      <c r="F27" s="826">
        <v>5</v>
      </c>
      <c r="G27" s="15" t="str">
        <f>IF(COUNTIF(Question_YN_Yes,E27)&gt;0,2,IF(COUNTIF(Question_YN_No,E27)&gt;0,0,"NA"))</f>
        <v>NA</v>
      </c>
      <c r="H27" s="786"/>
      <c r="I27" s="836"/>
      <c r="J27" s="789"/>
    </row>
    <row r="28" spans="1:19" s="13" customFormat="1" ht="14" x14ac:dyDescent="0.35">
      <c r="A28" s="844"/>
      <c r="B28" s="217" t="s">
        <v>2722</v>
      </c>
      <c r="C28" s="217"/>
      <c r="D28" s="389" t="str">
        <f ca="1">VLOOKUP(B28,Questions!$D$4:$F$418,3,FALSE)</f>
        <v>Barrierefreie Toilette (ja = 1; nein = 0)</v>
      </c>
      <c r="E28" s="593"/>
      <c r="F28" s="827"/>
      <c r="G28" s="15" t="str">
        <f>IF(COUNTIF(Question_YN_Yes,E28)&gt;0,1,IF(COUNTIF(Question_YN_No,E28)&gt;0,0,"NA"))</f>
        <v>NA</v>
      </c>
      <c r="H28" s="786"/>
      <c r="I28" s="836"/>
      <c r="J28" s="789"/>
    </row>
    <row r="29" spans="1:19" s="13" customFormat="1" ht="14" x14ac:dyDescent="0.35">
      <c r="A29" s="844"/>
      <c r="B29" s="217" t="s">
        <v>2723</v>
      </c>
      <c r="C29" s="218"/>
      <c r="D29" s="389" t="str">
        <f ca="1">VLOOKUP(B29,Questions!$D$4:$F$418,3,FALSE)</f>
        <v>genderneutrale Toilette = 0; Frauen / Männer getrennt = 1</v>
      </c>
      <c r="E29" s="593"/>
      <c r="F29" s="827"/>
      <c r="G29" s="15" t="str">
        <f>IF(COUNTIF(Q_9_6_3_Unisex,E29)&gt;0,0,IF(COUNTIF(Q_9_6_3_Mafe_Female,E29)&gt;0,1,"NA"))</f>
        <v>NA</v>
      </c>
      <c r="H29" s="786"/>
      <c r="I29" s="836"/>
      <c r="J29" s="789"/>
    </row>
    <row r="30" spans="1:19" s="13" customFormat="1" ht="14" x14ac:dyDescent="0.35">
      <c r="A30" s="850"/>
      <c r="B30" s="217" t="s">
        <v>2844</v>
      </c>
      <c r="C30" s="218"/>
      <c r="D30" s="446" t="str">
        <f ca="1">VLOOKUP(B30,Questions!$D$4:$F$418,3,FALSE)</f>
        <v>Personalanwesenheit: ja = 1; nein = 0</v>
      </c>
      <c r="E30" s="594"/>
      <c r="F30" s="827"/>
      <c r="G30" s="282" t="str">
        <f>IF(COUNTIF(Question_YN_Yes,E30)&gt;0,1,IF(COUNTIF(Question_YN_No,E30)&gt;0,0,"NA"))</f>
        <v>NA</v>
      </c>
      <c r="H30" s="787"/>
      <c r="I30" s="864"/>
      <c r="J30" s="790"/>
    </row>
    <row r="31" spans="1:19" x14ac:dyDescent="0.35">
      <c r="A31" s="848" t="s">
        <v>68</v>
      </c>
      <c r="B31" s="219" t="s">
        <v>2724</v>
      </c>
      <c r="C31" s="444"/>
      <c r="D31" s="739" t="str">
        <f ca="1">VLOOKUP(B31,Questions!$D$4:$F$418,3,FALSE)</f>
        <v>Einsatz von Farben / Verschönerung</v>
      </c>
      <c r="E31" s="740"/>
      <c r="F31" s="740"/>
      <c r="G31" s="775"/>
      <c r="H31" s="879">
        <f>F32/$I$50*$I$52</f>
        <v>0.36363636363636365</v>
      </c>
      <c r="I31" s="835">
        <f>IF(ISNUMBER(SUM(G32:G33)),SUM(G32:G33)/$I$50*$I$52,0)</f>
        <v>0</v>
      </c>
      <c r="J31" s="881"/>
    </row>
    <row r="32" spans="1:19" x14ac:dyDescent="0.35">
      <c r="A32" s="783"/>
      <c r="B32" s="219" t="s">
        <v>2725</v>
      </c>
      <c r="C32" s="445"/>
      <c r="D32" s="447" t="str">
        <f ca="1">VLOOKUP(B32,Questions!$D$4:$F$418,3,FALSE)</f>
        <v>Farbige Säulen = 1; nein/betongrau = 0</v>
      </c>
      <c r="E32" s="61"/>
      <c r="F32" s="742">
        <v>2</v>
      </c>
      <c r="G32" s="339" t="str">
        <f>IF(COUNTIF(Q_9_7_1_Colored_Pillars,E32)&gt;0,1,IF(COUNTIF(Q_9_7_1_No_Concrete_Grey,E32)&gt;0,0,"NA"))</f>
        <v>NA</v>
      </c>
      <c r="H32" s="770"/>
      <c r="I32" s="836"/>
      <c r="J32" s="882"/>
    </row>
    <row r="33" spans="1:10" x14ac:dyDescent="0.35">
      <c r="A33" s="854"/>
      <c r="B33" s="219" t="s">
        <v>2726</v>
      </c>
      <c r="C33" s="445"/>
      <c r="D33" s="448" t="str">
        <f ca="1">VLOOKUP(B33,Questions!$D$4:$F$418,3,FALSE)</f>
        <v>Farbige Wände = 1; nein/betongrau = 0</v>
      </c>
      <c r="E33" s="302"/>
      <c r="F33" s="761"/>
      <c r="G33" s="341" t="str">
        <f>IF(COUNTIF(Q_9_7_2_Colored_Walls,E33)&gt;0,1,IF(COUNTIF(Q_9_7_2_Concrete_Grey,E33)&gt;0,0,"NA"))</f>
        <v>NA</v>
      </c>
      <c r="H33" s="770"/>
      <c r="I33" s="837"/>
      <c r="J33" s="883"/>
    </row>
    <row r="34" spans="1:10" s="13" customFormat="1" ht="14" x14ac:dyDescent="0.35">
      <c r="A34" s="855" t="s">
        <v>69</v>
      </c>
      <c r="B34" s="217" t="s">
        <v>2845</v>
      </c>
      <c r="C34" s="217"/>
      <c r="D34" s="814" t="str">
        <f ca="1">VLOOKUP(B34,Questions!$D$4:$F$418,3,FALSE)</f>
        <v>Zusätzliche verschönernde Element:</v>
      </c>
      <c r="E34" s="815"/>
      <c r="F34" s="815"/>
      <c r="G34" s="878"/>
      <c r="H34" s="846">
        <f>F35/$I$50*$I$52</f>
        <v>0.72727272727272729</v>
      </c>
      <c r="I34" s="835">
        <f>IF(ISNUMBER(SUM(G35:G37)),SUM(G35:G37)/$I$50*$I$52,0)</f>
        <v>0</v>
      </c>
      <c r="J34" s="881"/>
    </row>
    <row r="35" spans="1:10" s="13" customFormat="1" ht="14" x14ac:dyDescent="0.35">
      <c r="A35" s="856"/>
      <c r="B35" s="217" t="s">
        <v>2846</v>
      </c>
      <c r="C35" s="217"/>
      <c r="D35" s="389" t="str">
        <f ca="1">VLOOKUP(B35,Questions!$D$4:$F$418,3,FALSE)</f>
        <v>Kunst (ja = 2; nein = 0)</v>
      </c>
      <c r="E35" s="366"/>
      <c r="F35" s="813">
        <v>4</v>
      </c>
      <c r="G35" s="15" t="str">
        <f>IF(COUNTIF(Question_YN_Yes,E35)&gt;0,2,IF(COUNTIF(Question_YN_No,E35)&gt;0,0,"NA"))</f>
        <v>NA</v>
      </c>
      <c r="H35" s="786"/>
      <c r="I35" s="836"/>
      <c r="J35" s="882"/>
    </row>
    <row r="36" spans="1:10" s="13" customFormat="1" ht="14" x14ac:dyDescent="0.35">
      <c r="A36" s="856"/>
      <c r="B36" s="217" t="s">
        <v>2847</v>
      </c>
      <c r="C36" s="218"/>
      <c r="D36" s="389" t="str">
        <f ca="1">VLOOKUP(B36,Questions!$D$4:$F$418,3,FALSE)</f>
        <v>Pflanzen (ja = 1; nein = 0)</v>
      </c>
      <c r="E36" s="366"/>
      <c r="F36" s="795"/>
      <c r="G36" s="15" t="str">
        <f>IF(COUNTIF(Question_YN_Yes,E36)&gt;0,1,IF(COUNTIF(Question_YN_No,E36)&gt;0,0,"NA"))</f>
        <v>NA</v>
      </c>
      <c r="H36" s="786"/>
      <c r="I36" s="836"/>
      <c r="J36" s="882"/>
    </row>
    <row r="37" spans="1:10" s="13" customFormat="1" ht="14" x14ac:dyDescent="0.35">
      <c r="A37" s="857"/>
      <c r="B37" s="217" t="s">
        <v>2848</v>
      </c>
      <c r="C37" s="218"/>
      <c r="D37" s="389" t="str">
        <f ca="1">VLOOKUP(B37,Questions!$D$4:$F$418,3,FALSE)</f>
        <v>sonstiges (ja = 1; nein =0)</v>
      </c>
      <c r="E37" s="366"/>
      <c r="F37" s="796"/>
      <c r="G37" s="15" t="str">
        <f>IF(COUNTIF(Question_YN_Yes,E37)&gt;0,1,IF(COUNTIF(Question_YN_No,E37)&gt;0,0,"NA"))</f>
        <v>NA</v>
      </c>
      <c r="H37" s="787"/>
      <c r="I37" s="864"/>
      <c r="J37" s="883"/>
    </row>
    <row r="38" spans="1:10" s="13" customFormat="1" x14ac:dyDescent="0.35">
      <c r="A38" s="156" t="s">
        <v>70</v>
      </c>
      <c r="B38" s="99" t="s">
        <v>70</v>
      </c>
      <c r="C38" s="99"/>
      <c r="D38" s="100" t="str">
        <f ca="1">VLOOKUP(B38,Questions!$D$4:$F$418,3,FALSE)</f>
        <v>Mobilfunkabdeckung (ja = 2; nein = 0)</v>
      </c>
      <c r="E38" s="63"/>
      <c r="F38" s="12">
        <v>2</v>
      </c>
      <c r="G38" s="586" t="str">
        <f>IF(COUNTIF(Question_YN_Yes,E38)&gt;0,2,IF(COUNTIF(Question_YN_No,E38)&gt;0,0,"NA"))</f>
        <v>NA</v>
      </c>
      <c r="H38" s="37">
        <f>F38/$I$50*$I$52</f>
        <v>0.36363636363636365</v>
      </c>
      <c r="I38" s="38">
        <f>IF(ISNUMBER(G38),G38/$I$50*$I$52,0)</f>
        <v>0</v>
      </c>
      <c r="J38" s="572"/>
    </row>
    <row r="39" spans="1:10" s="13" customFormat="1" x14ac:dyDescent="0.35">
      <c r="A39" s="156" t="s">
        <v>71</v>
      </c>
      <c r="B39" s="217" t="s">
        <v>71</v>
      </c>
      <c r="C39" s="217"/>
      <c r="D39" s="100" t="str">
        <f ca="1">VLOOKUP(B39,Questions!$D$4:$F$418,3,FALSE)</f>
        <v>Radioempfang (ja = 1; nein = 0)</v>
      </c>
      <c r="E39" s="63"/>
      <c r="F39" s="12">
        <v>4</v>
      </c>
      <c r="G39" s="586" t="str">
        <f>IF(COUNTIF(Question_YN_Yes,E39)&gt;0,1,IF(COUNTIF(Question_YN_No,E39)&gt;0,0,"NA"))</f>
        <v>NA</v>
      </c>
      <c r="H39" s="37">
        <f>F39/$I$50*$I$52</f>
        <v>0.72727272727272729</v>
      </c>
      <c r="I39" s="38">
        <f>IF(ISNUMBER(G39),G39/$I$50*$I$52,0)</f>
        <v>0</v>
      </c>
      <c r="J39" s="572"/>
    </row>
    <row r="40" spans="1:10" s="13" customFormat="1" x14ac:dyDescent="0.35">
      <c r="A40" s="844" t="s">
        <v>2731</v>
      </c>
      <c r="B40" s="233" t="s">
        <v>2729</v>
      </c>
      <c r="C40" s="218"/>
      <c r="D40" s="851" t="str">
        <f ca="1">VLOOKUP(B40,Questions!$D$4:$F$418,3,FALSE)</f>
        <v>Musik</v>
      </c>
      <c r="E40" s="852"/>
      <c r="F40" s="852"/>
      <c r="G40" s="853"/>
      <c r="H40" s="808">
        <f>F41/$I$50*$I$52</f>
        <v>0.54545454545454541</v>
      </c>
      <c r="I40" s="835">
        <f>IF(ISNUMBER(SUM(G41:G42)),SUM(G41:G42)/$I$50*$I$52,0)</f>
        <v>0</v>
      </c>
      <c r="J40" s="881"/>
    </row>
    <row r="41" spans="1:10" s="13" customFormat="1" x14ac:dyDescent="0.35">
      <c r="A41" s="844"/>
      <c r="B41" s="233" t="s">
        <v>2732</v>
      </c>
      <c r="C41" s="218"/>
      <c r="D41" s="90" t="str">
        <f ca="1">VLOOKUP(B41,Questions!$D$4:$F$418,3,FALSE)</f>
        <v>Hintergrundmusik (ja = 2; nein = 0)</v>
      </c>
      <c r="E41" s="61"/>
      <c r="F41" s="742">
        <v>3</v>
      </c>
      <c r="G41" s="15" t="str">
        <f>IF(COUNTIF(Question_YN_Yes,E41)&gt;0,2,IF(COUNTIF(Question_YN_No,E41)&gt;0,0,"NA"))</f>
        <v>NA</v>
      </c>
      <c r="H41" s="809"/>
      <c r="I41" s="836"/>
      <c r="J41" s="882"/>
    </row>
    <row r="42" spans="1:10" s="13" customFormat="1" x14ac:dyDescent="0.35">
      <c r="A42" s="845"/>
      <c r="B42" s="233" t="s">
        <v>2733</v>
      </c>
      <c r="C42" s="218"/>
      <c r="D42" s="91" t="str">
        <f ca="1">VLOOKUP(B42,Questions!$D$4:$F$418,3,FALSE)</f>
        <v>Differenzierung zur Orientierung (ja = 1; nein = 0)</v>
      </c>
      <c r="E42" s="62"/>
      <c r="F42" s="733"/>
      <c r="G42" s="16" t="str">
        <f>IF(COUNTIF(Question_YN_Yes,E42)&gt;0,1,IF(COUNTIF(Question_YN_No,E42)&gt;0,0,"NA"))</f>
        <v>NA</v>
      </c>
      <c r="H42" s="810"/>
      <c r="I42" s="837"/>
      <c r="J42" s="883"/>
    </row>
    <row r="43" spans="1:10" s="13" customFormat="1" x14ac:dyDescent="0.35">
      <c r="A43" s="843" t="s">
        <v>2730</v>
      </c>
      <c r="B43" s="233" t="s">
        <v>2849</v>
      </c>
      <c r="C43" s="217"/>
      <c r="D43" s="860" t="str">
        <f ca="1">VLOOKUP(B43,Questions!$D$4:$F$418,3,FALSE)</f>
        <v>Mülleimer</v>
      </c>
      <c r="E43" s="764"/>
      <c r="F43" s="764"/>
      <c r="G43" s="765"/>
      <c r="H43" s="832">
        <f>F44/$I$50*$I$52</f>
        <v>0.36363636363636365</v>
      </c>
      <c r="I43" s="835">
        <f>IF(ISNUMBER(SUM(G44:G45)),SUM(G44:G45)/$I$50*$I$52,0)</f>
        <v>0</v>
      </c>
      <c r="J43" s="881"/>
    </row>
    <row r="44" spans="1:10" s="13" customFormat="1" x14ac:dyDescent="0.35">
      <c r="A44" s="844"/>
      <c r="B44" s="233" t="s">
        <v>2850</v>
      </c>
      <c r="C44" s="218"/>
      <c r="D44" s="90" t="str">
        <f ca="1">VLOOKUP(B44,Questions!$D$4:$F$418,3,FALSE)</f>
        <v>Mülleimer an den Fußgängerzugängen / Treppenhäusern (ja = 1; nein = 0)</v>
      </c>
      <c r="E44" s="61"/>
      <c r="F44" s="742">
        <v>2</v>
      </c>
      <c r="G44" s="15" t="str">
        <f>IF(COUNTIF(Question_YN_Yes,E44)&gt;0,1,IF(COUNTIF(Question_YN_No,E44)&gt;0,0,"NA"))</f>
        <v>NA</v>
      </c>
      <c r="H44" s="833"/>
      <c r="I44" s="836"/>
      <c r="J44" s="882"/>
    </row>
    <row r="45" spans="1:10" s="13" customFormat="1" x14ac:dyDescent="0.35">
      <c r="A45" s="845"/>
      <c r="B45" s="233" t="s">
        <v>2851</v>
      </c>
      <c r="C45" s="218"/>
      <c r="D45" s="91" t="str">
        <f ca="1">VLOOKUP(B45,Questions!$D$4:$F$418,3,FALSE)</f>
        <v>Mülleimer in den Parkbereichen (&gt; 1 pro 100 stellplätze): ja = 1; nein = 0</v>
      </c>
      <c r="E45" s="62"/>
      <c r="F45" s="761"/>
      <c r="G45" s="16" t="str">
        <f>IF(COUNTIF(Question_YN_Yes,E45)&gt;0,1,IF(COUNTIF(Question_YN_No,E45)&gt;0,0,"NA"))</f>
        <v>NA</v>
      </c>
      <c r="H45" s="877"/>
      <c r="I45" s="837"/>
      <c r="J45" s="883"/>
    </row>
    <row r="46" spans="1:10" s="13" customFormat="1" x14ac:dyDescent="0.35">
      <c r="A46" s="156" t="s">
        <v>2852</v>
      </c>
      <c r="B46" s="233" t="s">
        <v>2852</v>
      </c>
      <c r="C46" s="99"/>
      <c r="D46" s="100" t="str">
        <f ca="1">VLOOKUP(B46,Questions!$D$4:$F$418,3,FALSE)</f>
        <v>Abholstation für lokale und Online-Einkäufe (ja = 1; nein = 0)</v>
      </c>
      <c r="E46" s="63"/>
      <c r="F46" s="12">
        <v>1</v>
      </c>
      <c r="G46" s="586" t="str">
        <f>IF(COUNTIF(Question_YN_Yes,E46)&gt;0,1,IF(COUNTIF(Question_YN_No,E46)&gt;0,0,"NA"))</f>
        <v>NA</v>
      </c>
      <c r="H46" s="37">
        <f>F46/$I$50*$I$52</f>
        <v>0.18181818181818182</v>
      </c>
      <c r="I46" s="38">
        <f>IF(ISNUMBER(G46),G46/$I$50*$I$52,0)</f>
        <v>0</v>
      </c>
      <c r="J46" s="572"/>
    </row>
    <row r="47" spans="1:10" x14ac:dyDescent="0.35">
      <c r="A47" s="364"/>
      <c r="B47" s="78"/>
      <c r="C47" s="78"/>
      <c r="D47" s="85" t="str">
        <f ca="1">CONCATENATE(Tags!$B$50," ",$D$1)</f>
        <v>Zwischensummen Komfort und Verschiedenes</v>
      </c>
      <c r="E47" s="106"/>
      <c r="F47" s="1">
        <f>SUM(F4:F46)</f>
        <v>44</v>
      </c>
      <c r="G47" s="14">
        <f>SUM(G44:G46,G41:G42,G35:G39,G32:G33,G27:G30,G24:G25,G15:G21,G9:G13,G5:G7)</f>
        <v>3</v>
      </c>
      <c r="H47" s="7">
        <f>SUM(H4:H46)</f>
        <v>8</v>
      </c>
      <c r="I47" s="418">
        <f>SUM(I4:I42)</f>
        <v>0.54545454545454541</v>
      </c>
      <c r="J47" s="573"/>
    </row>
    <row r="48" spans="1:10" x14ac:dyDescent="0.35"/>
    <row r="49" spans="1:10" s="13" customFormat="1" ht="13" customHeight="1" x14ac:dyDescent="0.35">
      <c r="A49" s="21"/>
      <c r="D49" s="145" t="str">
        <f ca="1">Tags!B30</f>
        <v>Summe der Positionen</v>
      </c>
      <c r="E49" s="77">
        <v>13</v>
      </c>
      <c r="F49" s="21"/>
      <c r="G49" s="145" t="str">
        <f ca="1">Tags!B34</f>
        <v>Punktzahl</v>
      </c>
      <c r="I49" s="79">
        <f>G47</f>
        <v>3</v>
      </c>
      <c r="J49" s="715" t="str">
        <f ca="1">'Detailed Results'!M14</f>
        <v>unvollständig</v>
      </c>
    </row>
    <row r="50" spans="1:10" s="13" customFormat="1" ht="13" customHeight="1" x14ac:dyDescent="0.35">
      <c r="A50" s="21"/>
      <c r="D50" s="145" t="str">
        <f ca="1">Tags!B31</f>
        <v>Summe der Positionen und Unterpositionen</v>
      </c>
      <c r="E50" s="77">
        <v>33</v>
      </c>
      <c r="F50" s="21"/>
      <c r="G50" s="145" t="str">
        <f ca="1">Tags!B35</f>
        <v>Maximale Punktzahl</v>
      </c>
      <c r="I50" s="79">
        <f>F47</f>
        <v>44</v>
      </c>
      <c r="J50" s="716"/>
    </row>
    <row r="51" spans="1:10" s="13" customFormat="1" ht="13" customHeight="1" x14ac:dyDescent="0.35">
      <c r="A51" s="21"/>
      <c r="D51" s="145" t="str">
        <f ca="1">Tags!B32</f>
        <v>vollständige Positionen</v>
      </c>
      <c r="E51" s="79">
        <f>COUNTA(E5:E7,E9:E13,E15:E21,E24:E25,E27:E30,E32:E33,E35:E39,E41:E42,E44:E46)</f>
        <v>0</v>
      </c>
      <c r="F51" s="21"/>
      <c r="G51" s="145" t="str">
        <f ca="1">Tags!B36</f>
        <v>Prozentsatz</v>
      </c>
      <c r="I51" s="80">
        <f>I49/I50</f>
        <v>6.8181818181818177E-2</v>
      </c>
      <c r="J51" s="716"/>
    </row>
    <row r="52" spans="1:10" s="13" customFormat="1" ht="13" customHeight="1" x14ac:dyDescent="0.35">
      <c r="A52" s="21"/>
      <c r="D52" s="145" t="str">
        <f ca="1">Tags!B33</f>
        <v>nicht gemessen</v>
      </c>
      <c r="E52" s="79">
        <f>E50-E51</f>
        <v>33</v>
      </c>
      <c r="F52" s="21"/>
      <c r="G52" s="145" t="str">
        <f ca="1">Tags!B37</f>
        <v>Wert der Kategorie</v>
      </c>
      <c r="I52" s="79">
        <f>VLOOKUP(A1,'Detailed Results'!$A$7:$M$15,11)</f>
        <v>8</v>
      </c>
      <c r="J52" s="717"/>
    </row>
    <row r="53" spans="1:10" x14ac:dyDescent="0.35"/>
    <row r="54" spans="1:10" ht="15.5" x14ac:dyDescent="0.35">
      <c r="A54" s="365" t="str">
        <f ca="1">Tags!B60</f>
        <v>Anmerkungen</v>
      </c>
      <c r="B54" s="107"/>
      <c r="C54" s="107"/>
    </row>
    <row r="55" spans="1:10" x14ac:dyDescent="0.35"/>
    <row r="56" spans="1:10" x14ac:dyDescent="0.35"/>
    <row r="57" spans="1:10" x14ac:dyDescent="0.35"/>
    <row r="58" spans="1:10" x14ac:dyDescent="0.35"/>
    <row r="59" spans="1:10" x14ac:dyDescent="0.35"/>
    <row r="60" spans="1:10" x14ac:dyDescent="0.35"/>
    <row r="61" spans="1:10" x14ac:dyDescent="0.35"/>
    <row r="62" spans="1:10" x14ac:dyDescent="0.35"/>
    <row r="63" spans="1:10" x14ac:dyDescent="0.35"/>
    <row r="64" spans="1:10"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sheetData>
  <sheetProtection algorithmName="SHA-512" hashValue="ccaRcZQp/XOx9NPNRunhULNr5kKvmAROWA9EWCVmv5N3U9OyUZyzP+ZmklB1z0L873L+hgfgpDwn2ZRMcWNU7w==" saltValue="0Cu4jnqGnZxT/Wcenrsc4Q==" spinCount="100000" sheet="1" formatRows="0" selectLockedCells="1"/>
  <mergeCells count="55">
    <mergeCell ref="J49:J52"/>
    <mergeCell ref="J8:J13"/>
    <mergeCell ref="J14:J20"/>
    <mergeCell ref="J26:J30"/>
    <mergeCell ref="J31:J33"/>
    <mergeCell ref="J34:J37"/>
    <mergeCell ref="J40:J42"/>
    <mergeCell ref="J43:J45"/>
    <mergeCell ref="J23:J25"/>
    <mergeCell ref="J4:J7"/>
    <mergeCell ref="F44:F45"/>
    <mergeCell ref="A43:A45"/>
    <mergeCell ref="H43:H45"/>
    <mergeCell ref="H40:H42"/>
    <mergeCell ref="I40:I42"/>
    <mergeCell ref="I43:I45"/>
    <mergeCell ref="F5:F7"/>
    <mergeCell ref="I34:I37"/>
    <mergeCell ref="H34:H37"/>
    <mergeCell ref="D34:G34"/>
    <mergeCell ref="H14:H20"/>
    <mergeCell ref="I14:I20"/>
    <mergeCell ref="I31:I33"/>
    <mergeCell ref="H31:H33"/>
    <mergeCell ref="H23:H25"/>
    <mergeCell ref="I23:I25"/>
    <mergeCell ref="H26:H30"/>
    <mergeCell ref="I26:I30"/>
    <mergeCell ref="A4:A7"/>
    <mergeCell ref="H4:H7"/>
    <mergeCell ref="I4:I7"/>
    <mergeCell ref="D4:G4"/>
    <mergeCell ref="H8:H13"/>
    <mergeCell ref="I8:I13"/>
    <mergeCell ref="D8:G8"/>
    <mergeCell ref="A8:A13"/>
    <mergeCell ref="F9:F13"/>
    <mergeCell ref="A14:A20"/>
    <mergeCell ref="F15:F20"/>
    <mergeCell ref="F27:F30"/>
    <mergeCell ref="A22:A25"/>
    <mergeCell ref="D22:G22"/>
    <mergeCell ref="D14:G14"/>
    <mergeCell ref="F32:F33"/>
    <mergeCell ref="D43:G43"/>
    <mergeCell ref="D26:G26"/>
    <mergeCell ref="F24:F25"/>
    <mergeCell ref="A26:A30"/>
    <mergeCell ref="A40:A42"/>
    <mergeCell ref="D40:G40"/>
    <mergeCell ref="D31:G31"/>
    <mergeCell ref="A31:A33"/>
    <mergeCell ref="A34:A37"/>
    <mergeCell ref="F35:F37"/>
    <mergeCell ref="F41:F42"/>
  </mergeCells>
  <phoneticPr fontId="24" type="noConversion"/>
  <conditionalFormatting sqref="E5:E7">
    <cfRule type="expression" dxfId="24" priority="23">
      <formula>($E$4="Yes")</formula>
    </cfRule>
  </conditionalFormatting>
  <conditionalFormatting sqref="E28:E30">
    <cfRule type="expression" dxfId="21" priority="13">
      <formula>($E$23=yes)</formula>
    </cfRule>
  </conditionalFormatting>
  <conditionalFormatting sqref="E33">
    <cfRule type="expression" dxfId="20" priority="45">
      <formula>$E$32=no</formula>
    </cfRule>
  </conditionalFormatting>
  <conditionalFormatting sqref="E35">
    <cfRule type="expression" dxfId="19" priority="8">
      <formula>($E$8="Yes")</formula>
    </cfRule>
  </conditionalFormatting>
  <conditionalFormatting sqref="E36:E37">
    <cfRule type="expression" dxfId="18" priority="7">
      <formula>($E$23=yes)</formula>
    </cfRule>
  </conditionalFormatting>
  <conditionalFormatting sqref="E38:E39">
    <cfRule type="expression" dxfId="17" priority="30">
      <formula>($E$8="Yes")</formula>
    </cfRule>
  </conditionalFormatting>
  <conditionalFormatting sqref="E42">
    <cfRule type="expression" dxfId="16" priority="6">
      <formula>$E$32=no</formula>
    </cfRule>
  </conditionalFormatting>
  <conditionalFormatting sqref="E45">
    <cfRule type="expression" dxfId="15" priority="5">
      <formula>$E$32=no</formula>
    </cfRule>
  </conditionalFormatting>
  <conditionalFormatting sqref="E46">
    <cfRule type="expression" dxfId="14" priority="14">
      <formula>($E$8="Yes")</formula>
    </cfRule>
  </conditionalFormatting>
  <conditionalFormatting sqref="J49:J52">
    <cfRule type="expression" dxfId="12" priority="3">
      <formula>#REF!="Fail"</formula>
    </cfRule>
    <cfRule type="expression" dxfId="11" priority="4">
      <formula>(#REF!="Pass")</formula>
    </cfRule>
  </conditionalFormatting>
  <dataValidations count="2">
    <dataValidation type="list" allowBlank="1" showInputMessage="1" showErrorMessage="1" sqref="E5:E7 E41:E42 E15:E20 E9:E12 E44:E46 E30 E26:E28 E35:E39 E23" xr:uid="{00000000-0002-0000-0B00-000000000000}">
      <formula1>YesNo</formula1>
    </dataValidation>
    <dataValidation type="whole" allowBlank="1" showInputMessage="1" showErrorMessage="1" sqref="E13" xr:uid="{079CEA31-6092-D645-8588-9F555369E863}">
      <formula1>0</formula1>
      <formula2>9</formula2>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7E552C59-7008-8648-890A-21E490C6F66A}">
            <xm:f>$E$23=Answers!$B$23</xm:f>
            <x14:dxf>
              <font>
                <color rgb="FFD9D9D9"/>
              </font>
              <fill>
                <patternFill>
                  <bgColor rgb="FFD9D9D9"/>
                </patternFill>
              </fill>
            </x14:dxf>
          </x14:cfRule>
          <xm:sqref>E24 G24</xm:sqref>
        </x14:conditionalFormatting>
        <x14:conditionalFormatting xmlns:xm="http://schemas.microsoft.com/office/excel/2006/main">
          <x14:cfRule type="expression" priority="1" id="{024E64EA-2485-F047-9039-1DE24D905826}">
            <xm:f>$E$23=Answers!$B$24</xm:f>
            <x14:dxf>
              <font>
                <color rgb="FFD9D9D9"/>
              </font>
              <fill>
                <patternFill>
                  <bgColor rgb="FFD9D9D9"/>
                </patternFill>
              </fill>
            </x14:dxf>
          </x14:cfRule>
          <xm:sqref>E25 G25</xm:sqref>
        </x14:conditionalFormatting>
        <x14:conditionalFormatting xmlns:xm="http://schemas.microsoft.com/office/excel/2006/main">
          <x14:cfRule type="expression" priority="21" id="{9E723D2A-46A0-D946-BB35-AD6F03C32602}">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1000000}">
          <x14:formula1>
            <xm:f>Answers!$B$207:$B$209</xm:f>
          </x14:formula1>
          <xm:sqref>E21</xm:sqref>
        </x14:dataValidation>
        <x14:dataValidation type="list" allowBlank="1" showInputMessage="1" showErrorMessage="1" xr:uid="{00000000-0002-0000-0B00-000002000000}">
          <x14:formula1>
            <xm:f>Answers!$B$211:$B$214</xm:f>
          </x14:formula1>
          <xm:sqref>E24</xm:sqref>
        </x14:dataValidation>
        <x14:dataValidation type="list" allowBlank="1" showInputMessage="1" showErrorMessage="1" xr:uid="{F0FF0617-98BB-414E-A63F-D7F2DDE3039E}">
          <x14:formula1>
            <xm:f>Answers!$B$216:$B$218</xm:f>
          </x14:formula1>
          <xm:sqref>E25</xm:sqref>
        </x14:dataValidation>
        <x14:dataValidation type="list" allowBlank="1" showInputMessage="1" showErrorMessage="1" xr:uid="{276403E8-1D8C-0C41-BFD9-5B1DA15460C0}">
          <x14:formula1>
            <xm:f>Answers!$B$220:$B$221</xm:f>
          </x14:formula1>
          <xm:sqref>E29</xm:sqref>
        </x14:dataValidation>
        <x14:dataValidation type="list" allowBlank="1" showInputMessage="1" showErrorMessage="1" xr:uid="{29D526DD-1235-454A-B1F3-1215319FC487}">
          <x14:formula1>
            <xm:f>Answers!$B$223:$B$224</xm:f>
          </x14:formula1>
          <xm:sqref>E32</xm:sqref>
        </x14:dataValidation>
        <x14:dataValidation type="list" allowBlank="1" showInputMessage="1" showErrorMessage="1" xr:uid="{176E3733-24CE-E948-9600-CC47AEFE3772}">
          <x14:formula1>
            <xm:f>Answers!$B$226:$B$227</xm:f>
          </x14:formula1>
          <xm:sqref>E33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K61"/>
  <sheetViews>
    <sheetView showGridLines="0" topLeftCell="A5" zoomScaleNormal="100" workbookViewId="0">
      <selection activeCell="J5" sqref="J5:J7"/>
    </sheetView>
  </sheetViews>
  <sheetFormatPr baseColWidth="10" defaultColWidth="0" defaultRowHeight="14.5" zeroHeight="1" x14ac:dyDescent="0.35"/>
  <cols>
    <col min="1" max="1" width="6.81640625" style="233" customWidth="1"/>
    <col min="2" max="2" width="8.7265625" style="4" hidden="1" customWidth="1"/>
    <col min="3"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v>10</v>
      </c>
      <c r="B1" s="482"/>
      <c r="C1" s="482"/>
      <c r="D1" s="466" t="str">
        <f ca="1">VLOOKUP(A1,Questions!$D$4:$F$418,3,FALSE)</f>
        <v>Energie und Umwelt</v>
      </c>
      <c r="E1" s="483"/>
      <c r="F1" s="484"/>
      <c r="G1" s="485" t="str">
        <f ca="1">IF(E34&gt;0,Tags!B21,Tags!B20)</f>
        <v>vollständig</v>
      </c>
      <c r="H1" s="486" t="s">
        <v>485</v>
      </c>
      <c r="I1" s="487">
        <f>I33*I34</f>
        <v>0</v>
      </c>
      <c r="J1" s="488">
        <f>I33</f>
        <v>0</v>
      </c>
    </row>
    <row r="2" spans="1:10" s="13" customFormat="1" ht="13" customHeight="1" x14ac:dyDescent="0.35">
      <c r="A2" s="21"/>
    </row>
    <row r="3" spans="1:10" s="13" customFormat="1" ht="13" customHeight="1" x14ac:dyDescent="0.35">
      <c r="A3" s="21"/>
    </row>
    <row r="4" spans="1:10" ht="28" x14ac:dyDescent="0.35">
      <c r="A4" s="163">
        <v>10</v>
      </c>
      <c r="B4" s="294"/>
      <c r="C4" s="294"/>
      <c r="D4" s="350" t="str">
        <f ca="1">Tags!B55</f>
        <v>Positionsliste</v>
      </c>
      <c r="E4" s="295" t="str">
        <f ca="1">Tags!B56</f>
        <v>Messwerte</v>
      </c>
      <c r="F4" s="296" t="str">
        <f ca="1">G32</f>
        <v>Maximale Punktzahl</v>
      </c>
      <c r="G4" s="296" t="str">
        <f ca="1">G31</f>
        <v>Punktzahl</v>
      </c>
      <c r="H4" s="327" t="str">
        <f ca="1">Tags!B58</f>
        <v>Beitrag zum Endergebnis</v>
      </c>
      <c r="I4" s="327" t="str">
        <f ca="1">Tags!B59</f>
        <v>Anmerkungen</v>
      </c>
      <c r="J4" s="327" t="str">
        <f ca="1">Tags!B60</f>
        <v>Anmerkungen</v>
      </c>
    </row>
    <row r="5" spans="1:10" s="13" customFormat="1" x14ac:dyDescent="0.35">
      <c r="A5" s="843" t="s">
        <v>72</v>
      </c>
      <c r="B5" s="297" t="s">
        <v>2734</v>
      </c>
      <c r="C5" s="217"/>
      <c r="D5" s="739" t="str">
        <f ca="1">VLOOKUP(B5,Questions!$D$4:$F$418,3,FALSE)</f>
        <v>Energiesparende Beleuchtung</v>
      </c>
      <c r="E5" s="740"/>
      <c r="F5" s="740">
        <v>2</v>
      </c>
      <c r="G5" s="775" t="str">
        <f>IF(ISERROR(G6+G7),"NA",SUM(G6:G7))</f>
        <v>NA</v>
      </c>
      <c r="H5" s="846">
        <f>F6/$I$32*$I$34</f>
        <v>0.52631578947368418</v>
      </c>
      <c r="I5" s="835">
        <f>IF(ISNUMBER(SUM(G6:G7)),SUM(G6:G7)/$I$32*$I$34,0)</f>
        <v>0</v>
      </c>
      <c r="J5" s="788"/>
    </row>
    <row r="6" spans="1:10" s="13" customFormat="1" x14ac:dyDescent="0.35">
      <c r="A6" s="844"/>
      <c r="B6" s="233" t="s">
        <v>2735</v>
      </c>
      <c r="C6" s="218"/>
      <c r="D6" s="101" t="str">
        <f ca="1">VLOOKUP(B6,Questions!$D$4:$F$418,3,FALSE)</f>
        <v>Elektronische Vorschaltgeräte (d.h. Leistungsfaktorkorrekturfilter (PFC)) (ja = 1; nein = 0)</v>
      </c>
      <c r="E6" s="65"/>
      <c r="F6" s="838">
        <v>2</v>
      </c>
      <c r="G6" s="339" t="str">
        <f>IF(COUNTIF(Question_YN_Yes,E6)&gt;0,1,IF(COUNTIF(Question_YN_No,E6)&gt;0,0,"NA"))</f>
        <v>NA</v>
      </c>
      <c r="H6" s="786"/>
      <c r="I6" s="836"/>
      <c r="J6" s="789"/>
    </row>
    <row r="7" spans="1:10" s="13" customFormat="1" x14ac:dyDescent="0.35">
      <c r="A7" s="845"/>
      <c r="B7" s="299" t="s">
        <v>2736</v>
      </c>
      <c r="C7" s="270"/>
      <c r="D7" s="353" t="str">
        <f ca="1">VLOOKUP(B7,Questions!$D$4:$F$418,3,FALSE)</f>
        <v>Andere Systeme (ja = 1; nein = 0)</v>
      </c>
      <c r="E7" s="354"/>
      <c r="F7" s="828"/>
      <c r="G7" s="339" t="str">
        <f>IF(COUNTIF(Question_YN_Yes,E7)&gt;0,1,IF(COUNTIF(Question_YN_No,E7)&gt;0,0,"NA"))</f>
        <v>NA</v>
      </c>
      <c r="H7" s="787"/>
      <c r="I7" s="864"/>
      <c r="J7" s="790"/>
    </row>
    <row r="8" spans="1:10" s="13" customFormat="1" ht="25" x14ac:dyDescent="0.35">
      <c r="A8" s="156" t="s">
        <v>73</v>
      </c>
      <c r="B8" s="247" t="s">
        <v>73</v>
      </c>
      <c r="C8" s="99"/>
      <c r="D8" s="355" t="str">
        <f ca="1">VLOOKUP(B8,Questions!$D$4:$F$418,3,FALSE)</f>
        <v>Bewegungsgesteuerte Beleuchtung (ja = 2; nein = 0)</v>
      </c>
      <c r="E8" s="332"/>
      <c r="F8" s="12">
        <v>2</v>
      </c>
      <c r="G8" s="408" t="str">
        <f>IF(COUNTIF(Question_YN_Yes,E8)&gt;0,2,IF(COUNTIF(Question_YN_No,E8)&gt;0,0,"NA"))</f>
        <v>NA</v>
      </c>
      <c r="H8" s="37">
        <f t="shared" ref="H8:H13" si="0">F8/$I$32*$I$34</f>
        <v>0.52631578947368418</v>
      </c>
      <c r="I8" s="38">
        <f t="shared" ref="I8:I13" si="1">IF(ISNUMBER(G8),G8/$I$32*$I$34,0)</f>
        <v>0</v>
      </c>
      <c r="J8" s="102"/>
    </row>
    <row r="9" spans="1:10" s="13" customFormat="1" ht="25" x14ac:dyDescent="0.35">
      <c r="A9" s="156" t="s">
        <v>74</v>
      </c>
      <c r="B9" s="247" t="s">
        <v>74</v>
      </c>
      <c r="C9" s="99"/>
      <c r="D9" s="355" t="str">
        <f ca="1">VLOOKUP(B9,Questions!$D$4:$F$418,3,FALSE)</f>
        <v>Adaptionsstrecke an der Einfahrt (Tageslichtkorrektur) (ja = 2; nein = 0)</v>
      </c>
      <c r="E9" s="332"/>
      <c r="F9" s="12">
        <v>2</v>
      </c>
      <c r="G9" s="408" t="str">
        <f>IF(COUNTIF(Question_YN_Yes,E9)&gt;0,2,IF(COUNTIF(Question_YN_No,E9)&gt;0,0,"NA"))</f>
        <v>NA</v>
      </c>
      <c r="H9" s="37">
        <f t="shared" si="0"/>
        <v>0.52631578947368418</v>
      </c>
      <c r="I9" s="38">
        <f t="shared" si="1"/>
        <v>0</v>
      </c>
      <c r="J9" s="102"/>
    </row>
    <row r="10" spans="1:10" s="13" customFormat="1" ht="37.5" x14ac:dyDescent="0.35">
      <c r="A10" s="156" t="s">
        <v>75</v>
      </c>
      <c r="B10" s="247" t="s">
        <v>75</v>
      </c>
      <c r="C10" s="99"/>
      <c r="D10" s="355" t="str">
        <f ca="1">VLOOKUP(B10,Questions!$D$4:$F$418,3,FALSE)</f>
        <v>Tageslichtabhängige Beleuchtungssteuerung (bspw. Dämmerungsschaltung) (ja = 2; nein = 0; irrelevant (unterirdisch) = 2)</v>
      </c>
      <c r="E10" s="332"/>
      <c r="F10" s="12">
        <v>2</v>
      </c>
      <c r="G10" s="408" t="str">
        <f>IF(COUNTIF(Q_10_4_Yes,E10)&gt;0,2,(IF(COUNTIF(Q_10_4_No,E10)&gt;0,0,(IF(COUNTIF(Q_10_4_Irrelevant,E10)&gt;0,2,"NA")))))</f>
        <v>NA</v>
      </c>
      <c r="H10" s="37">
        <f t="shared" si="0"/>
        <v>0.52631578947368418</v>
      </c>
      <c r="I10" s="38">
        <f t="shared" si="1"/>
        <v>0</v>
      </c>
      <c r="J10" s="102"/>
    </row>
    <row r="11" spans="1:10" s="13" customFormat="1" ht="25" x14ac:dyDescent="0.35">
      <c r="A11" s="156" t="s">
        <v>76</v>
      </c>
      <c r="B11" s="247" t="s">
        <v>76</v>
      </c>
      <c r="C11" s="99"/>
      <c r="D11" s="355" t="str">
        <f ca="1">VLOOKUP(B11,Questions!$D$4:$F$418,3,FALSE)</f>
        <v>Solarpanele auf dem Dach oder andere Green Energy Initiativen (ja = 2; nein = 0)</v>
      </c>
      <c r="E11" s="332"/>
      <c r="F11" s="12">
        <v>2</v>
      </c>
      <c r="G11" s="408" t="str">
        <f>IF(COUNTIF(Question_YN_Yes,E11)&gt;0,2,IF(COUNTIF(Question_YN_No,E11)&gt;0,0,"NA"))</f>
        <v>NA</v>
      </c>
      <c r="H11" s="37">
        <f t="shared" si="0"/>
        <v>0.52631578947368418</v>
      </c>
      <c r="I11" s="38">
        <f t="shared" si="1"/>
        <v>0</v>
      </c>
      <c r="J11" s="102"/>
    </row>
    <row r="12" spans="1:10" s="13" customFormat="1" ht="25" x14ac:dyDescent="0.35">
      <c r="A12" s="271" t="s">
        <v>78</v>
      </c>
      <c r="B12" s="233" t="s">
        <v>78</v>
      </c>
      <c r="C12" s="270"/>
      <c r="D12" s="351" t="str">
        <f ca="1">VLOOKUP(B12,Questions!$D$4:$F$418,3,FALSE)</f>
        <v>Spezielle Behandlung von Schmutzwasser (ja = 2; nein = 0)</v>
      </c>
      <c r="E12" s="352"/>
      <c r="F12" s="402">
        <v>2</v>
      </c>
      <c r="G12" s="581" t="str">
        <f>IF(COUNTIF(Question_YN_Yes,E12)&gt;0,2,IF(COUNTIF(Question_YN_No,E12)&gt;0,0,"NA"))</f>
        <v>NA</v>
      </c>
      <c r="H12" s="37">
        <f t="shared" si="0"/>
        <v>0.52631578947368418</v>
      </c>
      <c r="I12" s="38">
        <f t="shared" si="1"/>
        <v>0</v>
      </c>
      <c r="J12" s="102"/>
    </row>
    <row r="13" spans="1:10" s="13" customFormat="1" ht="37.5" x14ac:dyDescent="0.35">
      <c r="A13" s="272" t="s">
        <v>99</v>
      </c>
      <c r="B13" s="233" t="s">
        <v>99</v>
      </c>
      <c r="C13" s="217"/>
      <c r="D13" s="353" t="str">
        <f ca="1">VLOOKUP(B13,Questions!$D$4:$F$418,3,FALSE)</f>
        <v>(Wieder-)Verwendung von Grau-/Regenwasser (ja = 2; nein = 0)</v>
      </c>
      <c r="E13" s="404"/>
      <c r="F13" s="12">
        <v>2</v>
      </c>
      <c r="G13" s="408" t="str">
        <f>IF(COUNTIF(Question_YN_Yes,E13)&gt;0,2,IF(COUNTIF(Question_YN_No,E13)&gt;0,0,"NA"))</f>
        <v>NA</v>
      </c>
      <c r="H13" s="37">
        <f t="shared" si="0"/>
        <v>0.52631578947368418</v>
      </c>
      <c r="I13" s="38">
        <f t="shared" si="1"/>
        <v>0</v>
      </c>
      <c r="J13" s="102"/>
    </row>
    <row r="14" spans="1:10" s="13" customFormat="1" x14ac:dyDescent="0.35">
      <c r="A14" s="887" t="s">
        <v>100</v>
      </c>
      <c r="B14" s="356" t="s">
        <v>2737</v>
      </c>
      <c r="C14" s="357"/>
      <c r="D14" s="744" t="str">
        <f ca="1">VLOOKUP(B14,Questions!$D$4:$F$418,3,FALSE)</f>
        <v>Öffentliche Ladepunkte für elektrische Fahrzeuge</v>
      </c>
      <c r="E14" s="745"/>
      <c r="F14" s="745"/>
      <c r="G14" s="858"/>
      <c r="H14" s="846">
        <f>F15/$I$32*$I$34</f>
        <v>3.4210526315789473</v>
      </c>
      <c r="I14" s="835">
        <f>IF(ISNUMBER(SUM(G15:G19)),SUM(G15:G19)/$I$32*$I$34,0)</f>
        <v>0</v>
      </c>
      <c r="J14" s="891"/>
    </row>
    <row r="15" spans="1:10" s="13" customFormat="1" ht="37.5" x14ac:dyDescent="0.35">
      <c r="A15" s="888"/>
      <c r="B15" s="358" t="s">
        <v>2738</v>
      </c>
      <c r="C15" s="359"/>
      <c r="D15" s="101" t="str">
        <f ca="1">VLOOKUP(B15,Questions!$D$4:$F$418,3,FALSE)</f>
        <v>Mehr als 10% der Stellplätze mit Ladepunkten ausgerüstet = 4; 5%-10% = 3; 2%-5% = 2; unter 2% = 1; keine = 0</v>
      </c>
      <c r="E15" s="360"/>
      <c r="F15" s="813">
        <v>13</v>
      </c>
      <c r="G15" s="582" t="str">
        <f>IF(COUNTIF(Q_10_8_1_more_10,E15)&gt;0,4,(IF(COUNTIF(Q_10_8_1_5_to_10,E15)&gt;0,3,(IF(COUNTIF(Q_10_8_1_2_to_5,E15)&gt;0,2,(IF(COUNTIF(Q_10_8_1_less_2,E15)&gt;0,1,IF(COUNTIF(Q_10_8_1_none,E15)&gt;0,0,"NA"))))))))</f>
        <v>NA</v>
      </c>
      <c r="H15" s="786"/>
      <c r="I15" s="836"/>
      <c r="J15" s="891"/>
    </row>
    <row r="16" spans="1:10" s="13" customFormat="1" ht="25" x14ac:dyDescent="0.35">
      <c r="A16" s="888"/>
      <c r="B16" s="358" t="s">
        <v>2739</v>
      </c>
      <c r="C16" s="359"/>
      <c r="D16" s="101" t="str">
        <f ca="1">VLOOKUP(B16,Questions!$D$4:$F$418,3,FALSE)</f>
        <v>Durchschnittliche Kapazität pro Ladepunkt: &lt;4kW = 0; 4 - 10kW = 1; 10 - 20kW = 2; &gt;20kW = 3. Schnell-Lader &gt;50kW = 1 Zusatzpunkt</v>
      </c>
      <c r="E16" s="360"/>
      <c r="F16" s="795"/>
      <c r="G16" s="582" t="str">
        <f>IF(COUNTIF(Q_10_8_2_less_4,E16)&gt;0,0,(IF(COUNTIF(Q_10_8_2_4_to_20,E16)&gt;0,1,(IF(COUNTIF(Q_10_8_2_10_to_20,E16)&gt;0,2,(IF(COUNTIF(Q_10_8_2_more_20,E16)&gt;0,3,IF(COUNTIF(Q_10_8_2_more_50,E16)&gt;0,4,"NA"))))))))</f>
        <v>NA</v>
      </c>
      <c r="H16" s="786"/>
      <c r="I16" s="836"/>
      <c r="J16" s="891"/>
    </row>
    <row r="17" spans="1:10" s="13" customFormat="1" ht="25" x14ac:dyDescent="0.35">
      <c r="A17" s="888"/>
      <c r="B17" s="358" t="s">
        <v>2740</v>
      </c>
      <c r="C17" s="359"/>
      <c r="D17" s="101" t="str">
        <f ca="1">VLOOKUP(B17,Questions!$D$4:$F$418,3,FALSE)</f>
        <v xml:space="preserve">Gesamte Kapazität pro 100 Stellplätze: &lt;50kW = 0; 50 - 100kW = 1; 100 - 200kW = 2; &gt;200 kW = 3 </v>
      </c>
      <c r="E17" s="360"/>
      <c r="F17" s="795"/>
      <c r="G17" s="582" t="str">
        <f>IF(COUNTIF(Q_10_8_3_less_50,E17)&gt;0,0,(IF(COUNTIF(Q_10_8_3_50_to_100,E17)&gt;0,1,(IF(COUNTIF(Q_10_8_3_100_to_200,E17)&gt;0,2,(IF(COUNTIF(Q_10_8_3_more_200,E17)&gt;0,3,"NA")))))))</f>
        <v>NA</v>
      </c>
      <c r="H17" s="786"/>
      <c r="I17" s="836"/>
      <c r="J17" s="891"/>
    </row>
    <row r="18" spans="1:10" s="13" customFormat="1" ht="25" x14ac:dyDescent="0.35">
      <c r="A18" s="888"/>
      <c r="B18" s="358" t="s">
        <v>2741</v>
      </c>
      <c r="C18" s="359"/>
      <c r="D18" s="101" t="str">
        <f ca="1">VLOOKUP(B18,Questions!$D$4:$F$418,3,FALSE)</f>
        <v>Ladepunkte in der Nähe der Einfahrt für die schnelle Erreichbarkeit durch Einsatzfahrzeuge im Brandfall (ja = 1; nein = 0)</v>
      </c>
      <c r="E18" s="360"/>
      <c r="F18" s="795"/>
      <c r="G18" s="582" t="str">
        <f>IF(COUNTIF(Question_YN_Yes,E18)&gt;0,1,IF(COUNTIF(Question_YN_No,E18)&gt;0,0,"NA"))</f>
        <v>NA</v>
      </c>
      <c r="H18" s="786"/>
      <c r="I18" s="836"/>
      <c r="J18" s="891"/>
    </row>
    <row r="19" spans="1:10" s="13" customFormat="1" ht="25" x14ac:dyDescent="0.35">
      <c r="A19" s="889"/>
      <c r="B19" s="361" t="s">
        <v>2743</v>
      </c>
      <c r="C19" s="362"/>
      <c r="D19" s="353" t="str">
        <f ca="1">VLOOKUP(B19,Questions!$D$4:$F$418,3,FALSE)</f>
        <v>Reservierung eines Ladepunkts über ein integriertes Buchungssystem möglich (ja = 1; nein = 0)</v>
      </c>
      <c r="E19" s="363"/>
      <c r="F19" s="796"/>
      <c r="G19" s="583" t="str">
        <f>IF(COUNTIF(Question_YN_Yes,E19)&gt;0,1,IF(COUNTIF(Question_YN_No,E19)&gt;0,0,"NA"))</f>
        <v>NA</v>
      </c>
      <c r="H19" s="847"/>
      <c r="I19" s="837"/>
      <c r="J19" s="892"/>
    </row>
    <row r="20" spans="1:10" s="13" customFormat="1" x14ac:dyDescent="0.35">
      <c r="A20" s="843" t="s">
        <v>101</v>
      </c>
      <c r="B20" s="247" t="s">
        <v>2748</v>
      </c>
      <c r="C20" s="99"/>
      <c r="D20" s="890" t="str">
        <f ca="1">VLOOKUP(B20,Questions!$D$4:$F$418,3,FALSE)</f>
        <v>Mobilitäts-Hubs</v>
      </c>
      <c r="E20" s="890"/>
      <c r="F20" s="890"/>
      <c r="G20" s="890"/>
      <c r="H20" s="846">
        <f>F21/$I$32*$I$34</f>
        <v>2.1052631578947367</v>
      </c>
      <c r="I20" s="835">
        <f>IF(ISNUMBER(SUM(G21:G25)),SUM(G21:G25)/$I$32*$I$34,0)</f>
        <v>0</v>
      </c>
      <c r="J20" s="788"/>
    </row>
    <row r="21" spans="1:10" s="13" customFormat="1" ht="25" x14ac:dyDescent="0.35">
      <c r="A21" s="844"/>
      <c r="B21" s="247" t="s">
        <v>2749</v>
      </c>
      <c r="C21" s="270"/>
      <c r="D21" s="101" t="str">
        <f ca="1">VLOOKUP(B21,Questions!$D$4:$F$418,3,FALSE)</f>
        <v>Eigene Stellplätze für Car-Sharing Anbieter: &gt;10 Stellplätze = 3; 5 - 10 Stellplätze = 2; 1 - 5 Stellplätze = 1; keine = 0</v>
      </c>
      <c r="E21" s="366"/>
      <c r="F21" s="813">
        <v>8</v>
      </c>
      <c r="G21" s="582" t="str">
        <f>IF(COUNTIF(Q_10_9_1_more_10,E21)&gt;0,3,(IF(COUNTIF(Q_10_9_1_5_to_10,E21)&gt;0,2,(IF(COUNTIF(Q_10_9_1_1_to_5,E21)&gt;0,1,(IF(COUNTIF(Q_10_9_1_none,E21)&gt;0,0,"NA")))))))</f>
        <v>NA</v>
      </c>
      <c r="H21" s="786"/>
      <c r="I21" s="836"/>
      <c r="J21" s="789"/>
    </row>
    <row r="22" spans="1:10" s="13" customFormat="1" x14ac:dyDescent="0.35">
      <c r="A22" s="844"/>
      <c r="B22" s="247" t="s">
        <v>2750</v>
      </c>
      <c r="C22" s="270"/>
      <c r="D22" s="101" t="str">
        <f ca="1">VLOOKUP(B22,Questions!$D$4:$F$418,3,FALSE)</f>
        <v>Fahrzeugreinigung/-aufbereitung: 1 Punkt</v>
      </c>
      <c r="E22" s="366"/>
      <c r="F22" s="795"/>
      <c r="G22" s="582" t="str">
        <f>IF(COUNTIF(Question_YN_Yes,E22)&gt;0,1,IF(COUNTIF(Question_YN_No,E22)&gt;0,0,"NA"))</f>
        <v>NA</v>
      </c>
      <c r="H22" s="786"/>
      <c r="I22" s="836"/>
      <c r="J22" s="789"/>
    </row>
    <row r="23" spans="1:10" s="13" customFormat="1" ht="25" x14ac:dyDescent="0.35">
      <c r="A23" s="844"/>
      <c r="B23" s="247" t="s">
        <v>2751</v>
      </c>
      <c r="C23" s="270"/>
      <c r="D23" s="101" t="str">
        <f ca="1">VLOOKUP(B23,Questions!$D$4:$F$418,3,FALSE)</f>
        <v>Station für Bike-Sharing und / oder E-Scooter, getrennt vom Parkbereich: &gt;10 Einheiten = 2; 1 - 10 Einheiten = 1; keine = 0</v>
      </c>
      <c r="E23" s="366"/>
      <c r="F23" s="795"/>
      <c r="G23" s="582" t="str">
        <f>IF(COUNTIF(Q_10_9_3_more_10,E23)&gt;0,2,(IF(COUNTIF(Q_10_9_3_1_to_10,E23)&gt;0,1,(IF(COUNTIF(Q_10_9_3_none,E23)&gt;0,0,"NA")))))</f>
        <v>NA</v>
      </c>
      <c r="H23" s="786"/>
      <c r="I23" s="836"/>
      <c r="J23" s="789"/>
    </row>
    <row r="24" spans="1:10" s="13" customFormat="1" x14ac:dyDescent="0.35">
      <c r="A24" s="844"/>
      <c r="B24" s="247" t="s">
        <v>2752</v>
      </c>
      <c r="C24" s="270"/>
      <c r="D24" s="101" t="str">
        <f ca="1">VLOOKUP(B24,Questions!$D$4:$F$418,3,FALSE)</f>
        <v>Lademöglichkeiten für leichte e-Fahrzeuge: &gt;10 = 2; 1 - 10 = 1; keine = 0</v>
      </c>
      <c r="E24" s="366"/>
      <c r="F24" s="795"/>
      <c r="G24" s="582" t="str">
        <f>IF(COUNTIF(Q_10_9_3_more_10,E24)&gt;0,2,(IF(COUNTIF(Q_10_9_3_1_to_10,E24)&gt;0,1,(IF(COUNTIF(Q_10_9_3_none,E24)&gt;0,0,"NA")))))</f>
        <v>NA</v>
      </c>
      <c r="H24" s="786"/>
      <c r="I24" s="836"/>
      <c r="J24" s="789"/>
    </row>
    <row r="25" spans="1:10" s="13" customFormat="1" x14ac:dyDescent="0.35">
      <c r="A25" s="845"/>
      <c r="B25" s="247" t="s">
        <v>2753</v>
      </c>
      <c r="C25" s="270"/>
      <c r="D25" s="353" t="str">
        <f ca="1">VLOOKUP(B25,Questions!$D$4:$F$418,3,FALSE)</f>
        <v>Zugang zu Bike-Sharing Punkten führt durch die Parkebene und ist nicht separat vom Kfz-Bereich: 1 Punkt Abzug</v>
      </c>
      <c r="E25" s="367"/>
      <c r="F25" s="796"/>
      <c r="G25" s="583" t="str">
        <f>IF(COUNTIF(Question_YN_Yes,E25)&gt;0,-1,IF(COUNTIF(Question_YN_No,E25)&gt;0,0,"NA"))</f>
        <v>NA</v>
      </c>
      <c r="H25" s="847"/>
      <c r="I25" s="837"/>
      <c r="J25" s="790"/>
    </row>
    <row r="26" spans="1:10" s="13" customFormat="1" x14ac:dyDescent="0.35">
      <c r="A26" s="156" t="s">
        <v>102</v>
      </c>
      <c r="B26" s="247" t="s">
        <v>102</v>
      </c>
      <c r="C26" s="99"/>
      <c r="D26" s="405" t="str">
        <f ca="1">VLOOKUP(B26,Questions!$D$4:$F$418,3,FALSE)</f>
        <v>Neubau wurde unter Berücksichtigung von Nachhaltigkeitskonzepten (Recycling) errichtet (ja = 1; nein = 0)</v>
      </c>
      <c r="E26" s="406"/>
      <c r="F26" s="402">
        <v>1</v>
      </c>
      <c r="G26" s="408" t="str">
        <f>IF(COUNTIF(Question_YN_Yes,E26)&gt;0,1,IF(COUNTIF(Question_YN_No,E26)&gt;0,0,"NA"))</f>
        <v>NA</v>
      </c>
      <c r="H26" s="37">
        <f>F26/$I$32*$I$34</f>
        <v>0.26315789473684209</v>
      </c>
      <c r="I26" s="38">
        <f>IF(ISNUMBER(G26),G26/$I$32*$I$34,0)</f>
        <v>0</v>
      </c>
      <c r="J26" s="102"/>
    </row>
    <row r="27" spans="1:10" s="13" customFormat="1" x14ac:dyDescent="0.35">
      <c r="A27" s="156" t="s">
        <v>2742</v>
      </c>
      <c r="B27" s="247" t="s">
        <v>2742</v>
      </c>
      <c r="C27" s="99"/>
      <c r="D27" s="355" t="str">
        <f ca="1">VLOOKUP(B27,Questions!$D$4:$F$418,3,FALSE)</f>
        <v>Andere Umweltinitiativen (ja = 2; nein = 0)</v>
      </c>
      <c r="E27" s="332"/>
      <c r="F27" s="12">
        <v>2</v>
      </c>
      <c r="G27" s="584" t="str">
        <f>IF(COUNTIF(Question_YN_Yes,E27)&gt;0,2,IF(COUNTIF(Question_YN_No,E27)&gt;0,0,"NA"))</f>
        <v>NA</v>
      </c>
      <c r="H27" s="37">
        <f>F27/$I$32*$I$34</f>
        <v>0.52631578947368418</v>
      </c>
      <c r="I27" s="38">
        <f>IF(ISNUMBER(G27),G27/$I$32*$I$34,0)</f>
        <v>0</v>
      </c>
      <c r="J27" s="102"/>
    </row>
    <row r="28" spans="1:10" x14ac:dyDescent="0.35">
      <c r="A28" s="364"/>
      <c r="B28" s="78"/>
      <c r="C28" s="78"/>
      <c r="D28" s="85" t="str">
        <f ca="1">CONCATENATE(Tags!$B$50," ",$D$1)</f>
        <v>Zwischensummen Energie und Umwelt</v>
      </c>
      <c r="E28" s="106"/>
      <c r="F28" s="1">
        <f>SUM(F21:F27,F15,F6:F13)</f>
        <v>38</v>
      </c>
      <c r="G28" s="14">
        <f>SUM(G21:G27,G15:G19,G6:G13)</f>
        <v>0</v>
      </c>
      <c r="H28" s="7">
        <f>SUM(H5:H27)</f>
        <v>10</v>
      </c>
      <c r="I28" s="35">
        <f>SUM(I5:I27)</f>
        <v>0</v>
      </c>
      <c r="J28" s="419"/>
    </row>
    <row r="29" spans="1:10" x14ac:dyDescent="0.35">
      <c r="B29" s="233"/>
      <c r="D29" s="349"/>
    </row>
    <row r="30" spans="1:10" x14ac:dyDescent="0.35">
      <c r="B30" s="233"/>
    </row>
    <row r="31" spans="1:10" s="13" customFormat="1" ht="13" customHeight="1" x14ac:dyDescent="0.35">
      <c r="A31" s="21"/>
      <c r="D31" s="145" t="str">
        <f ca="1">Tags!B30</f>
        <v>Summe der Positionen</v>
      </c>
      <c r="E31" s="77">
        <v>11</v>
      </c>
      <c r="G31" s="145" t="str">
        <f ca="1">Tags!B34</f>
        <v>Punktzahl</v>
      </c>
      <c r="I31" s="79">
        <f>G28</f>
        <v>0</v>
      </c>
      <c r="J31" s="715" t="str">
        <f ca="1">'Detailed Results'!M15</f>
        <v>nicht bestanden</v>
      </c>
    </row>
    <row r="32" spans="1:10" s="13" customFormat="1" ht="13" customHeight="1" x14ac:dyDescent="0.35">
      <c r="A32" s="21"/>
      <c r="D32" s="145" t="str">
        <f ca="1">Tags!B31</f>
        <v>Summe der Positionen und Unterpositionen</v>
      </c>
      <c r="E32" s="77">
        <f>COUNTA(E21:E27,E15:E19,E6:E13)</f>
        <v>0</v>
      </c>
      <c r="G32" s="145" t="str">
        <f ca="1">Tags!B35</f>
        <v>Maximale Punktzahl</v>
      </c>
      <c r="I32" s="79">
        <f>F28</f>
        <v>38</v>
      </c>
      <c r="J32" s="716"/>
    </row>
    <row r="33" spans="1:10" s="13" customFormat="1" ht="13" customHeight="1" x14ac:dyDescent="0.35">
      <c r="A33" s="21"/>
      <c r="D33" s="145" t="str">
        <f ca="1">Tags!B32</f>
        <v>vollständige Positionen</v>
      </c>
      <c r="E33" s="79">
        <f>COUNTA(E6:E27)</f>
        <v>0</v>
      </c>
      <c r="G33" s="145" t="str">
        <f ca="1">Tags!B36</f>
        <v>Prozentsatz</v>
      </c>
      <c r="I33" s="80">
        <f>I31/I32</f>
        <v>0</v>
      </c>
      <c r="J33" s="716"/>
    </row>
    <row r="34" spans="1:10" s="13" customFormat="1" ht="13" customHeight="1" x14ac:dyDescent="0.35">
      <c r="A34" s="21"/>
      <c r="D34" s="145" t="str">
        <f ca="1">Tags!B33</f>
        <v>nicht gemessen</v>
      </c>
      <c r="E34" s="79">
        <f>E32-E33</f>
        <v>0</v>
      </c>
      <c r="G34" s="145" t="str">
        <f ca="1">Tags!B37</f>
        <v>Wert der Kategorie</v>
      </c>
      <c r="I34" s="79">
        <f>VLOOKUP(A1,'Detailed Results'!$A$7:$M$15,11)</f>
        <v>10</v>
      </c>
      <c r="J34" s="717"/>
    </row>
    <row r="35" spans="1:10" x14ac:dyDescent="0.35"/>
    <row r="36" spans="1:10" ht="15.5" x14ac:dyDescent="0.35">
      <c r="A36" s="365" t="str">
        <f ca="1">Tags!B60</f>
        <v>Anmerkungen</v>
      </c>
      <c r="B36" s="107"/>
      <c r="C36" s="107"/>
    </row>
    <row r="37" spans="1:10" x14ac:dyDescent="0.35"/>
    <row r="38" spans="1:10" x14ac:dyDescent="0.35"/>
    <row r="39" spans="1:10" x14ac:dyDescent="0.35"/>
    <row r="40" spans="1:10" x14ac:dyDescent="0.35"/>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sheetData>
  <sheetProtection algorithmName="SHA-512" hashValue="z/ppk4g5y2ZiafSpffPCKNIgba5eLDWjYD0GhftNGMN1R6VDAqD5I/WqN/8eeddKRrV9JZhHnoZHzJ77M01p7w==" saltValue="n41hNkf3aOdR/xfso0DVFA==" spinCount="100000" sheet="1" formatRows="0" selectLockedCells="1"/>
  <mergeCells count="19">
    <mergeCell ref="J14:J19"/>
    <mergeCell ref="H14:H19"/>
    <mergeCell ref="H20:H25"/>
    <mergeCell ref="I14:I19"/>
    <mergeCell ref="I20:I25"/>
    <mergeCell ref="J20:J25"/>
    <mergeCell ref="J31:J34"/>
    <mergeCell ref="A5:A7"/>
    <mergeCell ref="H5:H7"/>
    <mergeCell ref="I5:I7"/>
    <mergeCell ref="J5:J7"/>
    <mergeCell ref="D5:G5"/>
    <mergeCell ref="D14:G14"/>
    <mergeCell ref="A14:A19"/>
    <mergeCell ref="D20:G20"/>
    <mergeCell ref="A20:A25"/>
    <mergeCell ref="F6:F7"/>
    <mergeCell ref="F15:F19"/>
    <mergeCell ref="F21:F25"/>
  </mergeCells>
  <phoneticPr fontId="24" type="noConversion"/>
  <conditionalFormatting sqref="J31:J34">
    <cfRule type="expression" dxfId="9" priority="53">
      <formula>#REF!="Fail"</formula>
    </cfRule>
    <cfRule type="expression" dxfId="8" priority="54">
      <formula>(#REF!="Pass")</formula>
    </cfRule>
  </conditionalFormatting>
  <dataValidations count="1">
    <dataValidation type="list" allowBlank="1" showInputMessage="1" showErrorMessage="1" sqref="E11:E13 E6:E9 E18:E19 E22 E25:E27" xr:uid="{00000000-0002-0000-0C00-000000000000}">
      <formula1>YesNo</formula1>
    </dataValidation>
  </dataValidations>
  <printOptions horizontalCentered="1"/>
  <pageMargins left="0.71" right="0.71" top="0.75000000000000011" bottom="0.75000000000000011" header="0.31" footer="0.31"/>
  <pageSetup paperSize="9" scale="45"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50047C9F-221F-CC4C-854F-B15279414264}">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1000000}">
          <x14:formula1>
            <xm:f>Answers!$B$229:$B$231</xm:f>
          </x14:formula1>
          <xm:sqref>E10</xm:sqref>
        </x14:dataValidation>
        <x14:dataValidation type="list" allowBlank="1" showInputMessage="1" showErrorMessage="1" xr:uid="{00000000-0002-0000-0C00-000002000000}">
          <x14:formula1>
            <xm:f>Answers!$B$233:$B$235</xm:f>
          </x14:formula1>
          <xm:sqref>E14</xm:sqref>
        </x14:dataValidation>
        <x14:dataValidation type="list" allowBlank="1" showInputMessage="1" showErrorMessage="1" xr:uid="{39C6A1A8-D766-504E-8A99-C34FFAFA0082}">
          <x14:formula1>
            <xm:f>Answers!$B$233:$B$237</xm:f>
          </x14:formula1>
          <xm:sqref>E15</xm:sqref>
        </x14:dataValidation>
        <x14:dataValidation type="list" allowBlank="1" showInputMessage="1" showErrorMessage="1" xr:uid="{1A7E45FE-B86C-8B4C-BCD6-EE58DDC60536}">
          <x14:formula1>
            <xm:f>Answers!$B$239:$B$243</xm:f>
          </x14:formula1>
          <xm:sqref>E16</xm:sqref>
        </x14:dataValidation>
        <x14:dataValidation type="list" allowBlank="1" showInputMessage="1" showErrorMessage="1" xr:uid="{94F5DCFA-BACD-8841-B802-91FB1D74FA66}">
          <x14:formula1>
            <xm:f>Answers!$B$245:$B$248</xm:f>
          </x14:formula1>
          <xm:sqref>E17</xm:sqref>
        </x14:dataValidation>
        <x14:dataValidation type="list" allowBlank="1" showInputMessage="1" showErrorMessage="1" xr:uid="{BC35792A-7977-E946-A62F-49F073917856}">
          <x14:formula1>
            <xm:f>Answers!$B$250:$B$253</xm:f>
          </x14:formula1>
          <xm:sqref>E21</xm:sqref>
        </x14:dataValidation>
        <x14:dataValidation type="list" allowBlank="1" showInputMessage="1" showErrorMessage="1" xr:uid="{0BEEF360-529F-134E-B566-ECA1F87CAA37}">
          <x14:formula1>
            <xm:f>Answers!$B$255:$B$257</xm:f>
          </x14:formula1>
          <xm:sqref>E23:E24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K64"/>
  <sheetViews>
    <sheetView showGridLines="0" topLeftCell="D4" zoomScale="183" zoomScaleNormal="183" workbookViewId="0">
      <selection activeCell="J4" sqref="J4:J9"/>
    </sheetView>
  </sheetViews>
  <sheetFormatPr baseColWidth="10" defaultColWidth="0" defaultRowHeight="14.5" zeroHeight="1" x14ac:dyDescent="0.35"/>
  <cols>
    <col min="1" max="1" width="4.81640625" style="4" customWidth="1"/>
    <col min="2"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1796875" style="4" customWidth="1"/>
    <col min="12" max="16384" width="8.81640625" style="4" hidden="1"/>
  </cols>
  <sheetData>
    <row r="1" spans="1:10" s="13" customFormat="1" ht="28" customHeight="1" thickBot="1" x14ac:dyDescent="0.4">
      <c r="A1" s="481" t="s">
        <v>6</v>
      </c>
      <c r="B1" s="482"/>
      <c r="C1" s="482"/>
      <c r="D1" s="466" t="str">
        <f ca="1">VLOOKUP(A1,Questions!$D$4:$F$418,3,FALSE)</f>
        <v>Minuspunkte</v>
      </c>
      <c r="E1" s="483"/>
      <c r="F1" s="484"/>
      <c r="G1" s="485" t="str">
        <f ca="1">IF(E37&gt;0,Tags!B21,Tags!B20)</f>
        <v>unvollständig</v>
      </c>
      <c r="H1" s="486" t="s">
        <v>485</v>
      </c>
      <c r="I1" s="487">
        <f>I36*I37</f>
        <v>0</v>
      </c>
      <c r="J1" s="488">
        <f>I36</f>
        <v>0</v>
      </c>
    </row>
    <row r="2" spans="1:10" s="13" customFormat="1" ht="13" customHeight="1" x14ac:dyDescent="0.35"/>
    <row r="3" spans="1:10" ht="42" x14ac:dyDescent="0.35">
      <c r="A3" s="162" t="s">
        <v>6</v>
      </c>
      <c r="B3" s="254"/>
      <c r="C3" s="254"/>
      <c r="D3" s="10" t="str">
        <f ca="1">Tags!B55</f>
        <v>Positionsliste</v>
      </c>
      <c r="E3" s="56" t="str">
        <f ca="1">Tags!B56</f>
        <v>Messwerte</v>
      </c>
      <c r="F3" s="6" t="str">
        <f ca="1">G35</f>
        <v>Maximale Punktzahl</v>
      </c>
      <c r="G3" s="6" t="str">
        <f ca="1">G34</f>
        <v>Punktzahl</v>
      </c>
      <c r="H3" s="327" t="str">
        <f ca="1">Tags!B57</f>
        <v>maximaler Beitrag zum Endergebnis</v>
      </c>
      <c r="I3" s="327" t="str">
        <f ca="1">Tags!B58</f>
        <v>Beitrag zum Endergebnis</v>
      </c>
      <c r="J3" s="327" t="str">
        <f ca="1">Tags!B59</f>
        <v>Anmerkungen</v>
      </c>
    </row>
    <row r="4" spans="1:10" x14ac:dyDescent="0.35">
      <c r="A4" s="843" t="s">
        <v>7</v>
      </c>
      <c r="B4" s="233" t="s">
        <v>2755</v>
      </c>
      <c r="C4" s="249"/>
      <c r="D4" s="897" t="str">
        <f ca="1">VLOOKUP(B4,Questions!$D$4:$F$418,3,FALSE)</f>
        <v>Graffitis</v>
      </c>
      <c r="E4" s="869"/>
      <c r="F4" s="869"/>
      <c r="G4" s="898"/>
      <c r="H4" s="849">
        <f>F5/$I$35*$I$37</f>
        <v>-2.4193548387096775</v>
      </c>
      <c r="I4" s="849">
        <f>IF(ISNUMBER(SUM(G5:G9)),SUM(G5:G9)/$I$35*$I$37,0)</f>
        <v>0</v>
      </c>
      <c r="J4" s="880"/>
    </row>
    <row r="5" spans="1:10" x14ac:dyDescent="0.35">
      <c r="A5" s="844"/>
      <c r="B5" s="233" t="s">
        <v>2756</v>
      </c>
      <c r="C5" s="250"/>
      <c r="D5" s="157" t="str">
        <f ca="1">VLOOKUP(B5,Questions!$D$4:$F$418,3,FALSE)</f>
        <v>Treppenhäuser (ja = -2; nein = 0)</v>
      </c>
      <c r="E5" s="65"/>
      <c r="F5" s="838">
        <v>-10</v>
      </c>
      <c r="G5" s="15" t="str">
        <f>IF(COUNTIF(Question_YN_Yes,E5)&gt;0,-2,IF(COUNTIF(Question_YN_No,E5)&gt;0,0,"NA"))</f>
        <v>NA</v>
      </c>
      <c r="H5" s="809"/>
      <c r="I5" s="809"/>
      <c r="J5" s="789"/>
    </row>
    <row r="6" spans="1:10" x14ac:dyDescent="0.35">
      <c r="A6" s="844"/>
      <c r="B6" s="233" t="s">
        <v>2757</v>
      </c>
      <c r="C6" s="250"/>
      <c r="D6" s="157" t="str">
        <f ca="1">VLOOKUP(B6,Questions!$D$4:$F$418,3,FALSE)</f>
        <v>Aufzüge (ja = -2; nein = 0)</v>
      </c>
      <c r="E6" s="65"/>
      <c r="F6" s="827"/>
      <c r="G6" s="15" t="str">
        <f>IF(COUNTIF(Question_YN_Yes,E6)&gt;0,-2,IF(COUNTIF(Question_YN_No,E6)&gt;0,0,"NA"))</f>
        <v>NA</v>
      </c>
      <c r="H6" s="809"/>
      <c r="I6" s="809"/>
      <c r="J6" s="789"/>
    </row>
    <row r="7" spans="1:10" x14ac:dyDescent="0.35">
      <c r="A7" s="844"/>
      <c r="B7" s="233" t="s">
        <v>2758</v>
      </c>
      <c r="C7" s="250"/>
      <c r="D7" s="157" t="str">
        <f ca="1">VLOOKUP(B7,Questions!$D$4:$F$418,3,FALSE)</f>
        <v>Toiletten (ja = -2; nein = 0)</v>
      </c>
      <c r="E7" s="65"/>
      <c r="F7" s="827"/>
      <c r="G7" s="15" t="str">
        <f>IF(COUNTIF(Question_YN_Yes,E7)&gt;0,-2,IF(COUNTIF(Question_YN_No,E7)&gt;0,0,"NA"))</f>
        <v>NA</v>
      </c>
      <c r="H7" s="809"/>
      <c r="I7" s="809"/>
      <c r="J7" s="789"/>
    </row>
    <row r="8" spans="1:10" x14ac:dyDescent="0.35">
      <c r="A8" s="844"/>
      <c r="B8" s="233" t="s">
        <v>2759</v>
      </c>
      <c r="C8" s="250"/>
      <c r="D8" s="157" t="str">
        <f ca="1">VLOOKUP(B8,Questions!$D$4:$F$418,3,FALSE)</f>
        <v>Parkbereich (ja = -2; nein = 0)</v>
      </c>
      <c r="E8" s="65"/>
      <c r="F8" s="827"/>
      <c r="G8" s="15" t="str">
        <f>IF(COUNTIF(Question_YN_Yes,E8)&gt;0,-2,IF(COUNTIF(Question_YN_No,E8)&gt;0,0,"NA"))</f>
        <v>NA</v>
      </c>
      <c r="H8" s="809"/>
      <c r="I8" s="809"/>
      <c r="J8" s="789"/>
    </row>
    <row r="9" spans="1:10" x14ac:dyDescent="0.35">
      <c r="A9" s="850"/>
      <c r="B9" s="233" t="s">
        <v>2760</v>
      </c>
      <c r="C9" s="250"/>
      <c r="D9" s="157" t="str">
        <f ca="1">VLOOKUP(B9,Questions!$D$4:$F$418,3,FALSE)</f>
        <v>Außenwände (ja = -2; nein = 0)</v>
      </c>
      <c r="E9" s="65"/>
      <c r="F9" s="828"/>
      <c r="G9" s="15" t="str">
        <f>IF(COUNTIF(Question_YN_Yes,E9)&gt;0,-2,IF(COUNTIF(Question_YN_No,E9)&gt;0,0,"NA"))</f>
        <v>NA</v>
      </c>
      <c r="H9" s="810"/>
      <c r="I9" s="810"/>
      <c r="J9" s="790"/>
    </row>
    <row r="10" spans="1:10" x14ac:dyDescent="0.35">
      <c r="A10" s="896" t="s">
        <v>8</v>
      </c>
      <c r="B10" s="233" t="s">
        <v>2761</v>
      </c>
      <c r="C10" s="250"/>
      <c r="D10" s="829" t="str">
        <f ca="1">VLOOKUP(B10,Questions!$D$4:$F$418,3,FALSE)</f>
        <v>Verschmutzung</v>
      </c>
      <c r="E10" s="830"/>
      <c r="F10" s="830"/>
      <c r="G10" s="831"/>
      <c r="H10" s="808">
        <f>F11/$I$35*$I$37</f>
        <v>-2.4193548387096775</v>
      </c>
      <c r="I10" s="808">
        <f>IF(ISNUMBER(SUM(G11:G15)),SUM(G11:G15)/$I$35*$I$37,0)</f>
        <v>0</v>
      </c>
      <c r="J10" s="880"/>
    </row>
    <row r="11" spans="1:10" x14ac:dyDescent="0.35">
      <c r="A11" s="844"/>
      <c r="B11" s="233" t="s">
        <v>2762</v>
      </c>
      <c r="C11" s="250"/>
      <c r="D11" s="157" t="str">
        <f ca="1">VLOOKUP(B11,Questions!$D$4:$F$418,3,FALSE)</f>
        <v>Treppenhäuser (ja = -2; nein = 0)</v>
      </c>
      <c r="E11" s="65"/>
      <c r="F11" s="838">
        <v>-10</v>
      </c>
      <c r="G11" s="15" t="str">
        <f>IF(COUNTIF(Question_YN_Yes,E11)&gt;0,-2,IF(COUNTIF(Question_YN_No,E11)&gt;0,0,"NA"))</f>
        <v>NA</v>
      </c>
      <c r="H11" s="809"/>
      <c r="I11" s="809"/>
      <c r="J11" s="789"/>
    </row>
    <row r="12" spans="1:10" x14ac:dyDescent="0.35">
      <c r="A12" s="844"/>
      <c r="B12" s="233" t="s">
        <v>2763</v>
      </c>
      <c r="C12" s="250"/>
      <c r="D12" s="157" t="str">
        <f ca="1">VLOOKUP(B12,Questions!$D$4:$F$418,3,FALSE)</f>
        <v>Aufzüge (ja = -2; nein = 0)</v>
      </c>
      <c r="E12" s="65"/>
      <c r="F12" s="827"/>
      <c r="G12" s="15" t="str">
        <f>IF(COUNTIF(Question_YN_Yes,E12)&gt;0,-2,IF(COUNTIF(Question_YN_No,E12)&gt;0,0,"NA"))</f>
        <v>NA</v>
      </c>
      <c r="H12" s="809"/>
      <c r="I12" s="809"/>
      <c r="J12" s="789"/>
    </row>
    <row r="13" spans="1:10" x14ac:dyDescent="0.35">
      <c r="A13" s="844"/>
      <c r="B13" s="233" t="s">
        <v>2764</v>
      </c>
      <c r="C13" s="250"/>
      <c r="D13" s="157" t="str">
        <f ca="1">VLOOKUP(B13,Questions!$D$4:$F$418,3,FALSE)</f>
        <v>Toiletten (ja = -2; nein = 0)</v>
      </c>
      <c r="E13" s="65"/>
      <c r="F13" s="827"/>
      <c r="G13" s="15" t="str">
        <f>IF(COUNTIF(Question_YN_Yes,E13)&gt;0,-2,IF(COUNTIF(Question_YN_No,E13)&gt;0,0,"NA"))</f>
        <v>NA</v>
      </c>
      <c r="H13" s="809"/>
      <c r="I13" s="809"/>
      <c r="J13" s="789"/>
    </row>
    <row r="14" spans="1:10" x14ac:dyDescent="0.35">
      <c r="A14" s="844"/>
      <c r="B14" s="233" t="s">
        <v>2765</v>
      </c>
      <c r="C14" s="250"/>
      <c r="D14" s="157" t="str">
        <f ca="1">VLOOKUP(B14,Questions!$D$4:$F$418,3,FALSE)</f>
        <v>Parkbereich (ja = -2; nein = 0)</v>
      </c>
      <c r="E14" s="65"/>
      <c r="F14" s="827"/>
      <c r="G14" s="15" t="str">
        <f>IF(COUNTIF(Question_YN_Yes,E14)&gt;0,-2,IF(COUNTIF(Question_YN_No,E14)&gt;0,0,"NA"))</f>
        <v>NA</v>
      </c>
      <c r="H14" s="809"/>
      <c r="I14" s="809"/>
      <c r="J14" s="789"/>
    </row>
    <row r="15" spans="1:10" x14ac:dyDescent="0.35">
      <c r="A15" s="845"/>
      <c r="B15" s="233" t="s">
        <v>2766</v>
      </c>
      <c r="C15" s="250"/>
      <c r="D15" s="157" t="str">
        <f ca="1">VLOOKUP(B15,Questions!$D$4:$F$418,3,FALSE)</f>
        <v>Zugangs- und Zufahrtsbereiche (ja = -2; nein = 0)</v>
      </c>
      <c r="E15" s="65"/>
      <c r="F15" s="828"/>
      <c r="G15" s="15" t="str">
        <f>IF(COUNTIF(Question_YN_Yes,E15)&gt;0,-2,IF(COUNTIF(Question_YN_No,E15)&gt;0,0,"NA"))</f>
        <v>NA</v>
      </c>
      <c r="H15" s="810"/>
      <c r="I15" s="810"/>
      <c r="J15" s="790"/>
    </row>
    <row r="16" spans="1:10" x14ac:dyDescent="0.35">
      <c r="A16" s="896" t="s">
        <v>9</v>
      </c>
      <c r="B16" s="233" t="s">
        <v>2767</v>
      </c>
      <c r="C16" s="250"/>
      <c r="D16" s="829" t="str">
        <f ca="1">VLOOKUP(B16,Questions!$D$4:$F$418,3,FALSE)</f>
        <v>Schlechter Zustand der Malerarbeiten</v>
      </c>
      <c r="E16" s="830"/>
      <c r="F16" s="830"/>
      <c r="G16" s="831"/>
      <c r="H16" s="808">
        <f>F17/$I$35*$I$37</f>
        <v>-1.935483870967742</v>
      </c>
      <c r="I16" s="808">
        <f>IF(ISNUMBER(SUM(G17:G20)),SUM(G17:G20)/$I$35*$I$37,0)</f>
        <v>0</v>
      </c>
      <c r="J16" s="788"/>
    </row>
    <row r="17" spans="1:10" x14ac:dyDescent="0.35">
      <c r="A17" s="844"/>
      <c r="B17" s="233" t="s">
        <v>2768</v>
      </c>
      <c r="C17" s="250"/>
      <c r="D17" s="157" t="str">
        <f ca="1">VLOOKUP(B17,Questions!$D$4:$F$418,3,FALSE)</f>
        <v>Treppenhäuser (ja = -2; nein = 0)</v>
      </c>
      <c r="E17" s="65"/>
      <c r="F17" s="838">
        <v>-8</v>
      </c>
      <c r="G17" s="15" t="str">
        <f>IF(COUNTIF(Question_YN_Yes,E17)&gt;0,-2,IF(COUNTIF(Question_YN_No,E17)&gt;0,0,"NA"))</f>
        <v>NA</v>
      </c>
      <c r="H17" s="809"/>
      <c r="I17" s="809"/>
      <c r="J17" s="789"/>
    </row>
    <row r="18" spans="1:10" x14ac:dyDescent="0.35">
      <c r="A18" s="844"/>
      <c r="B18" s="233" t="s">
        <v>2769</v>
      </c>
      <c r="C18" s="250"/>
      <c r="D18" s="157" t="str">
        <f ca="1">VLOOKUP(B18,Questions!$D$4:$F$418,3,FALSE)</f>
        <v>Aufzüge (ja = -2; nein = 0)</v>
      </c>
      <c r="E18" s="65"/>
      <c r="F18" s="827"/>
      <c r="G18" s="15" t="str">
        <f>IF(COUNTIF(Question_YN_Yes,E18)&gt;0,-2,IF(COUNTIF(Question_YN_No,E18)&gt;0,0,"NA"))</f>
        <v>NA</v>
      </c>
      <c r="H18" s="809"/>
      <c r="I18" s="809"/>
      <c r="J18" s="789"/>
    </row>
    <row r="19" spans="1:10" x14ac:dyDescent="0.35">
      <c r="A19" s="844"/>
      <c r="B19" s="233" t="s">
        <v>2770</v>
      </c>
      <c r="C19" s="250"/>
      <c r="D19" s="157" t="str">
        <f ca="1">VLOOKUP(B19,Questions!$D$4:$F$418,3,FALSE)</f>
        <v>Parkbereich (ja = -2; nein = 0)</v>
      </c>
      <c r="E19" s="65"/>
      <c r="F19" s="827"/>
      <c r="G19" s="15" t="str">
        <f>IF(COUNTIF(Question_YN_Yes,E19)&gt;0,-2,IF(COUNTIF(Question_YN_No,E19)&gt;0,0,"NA"))</f>
        <v>NA</v>
      </c>
      <c r="H19" s="809"/>
      <c r="I19" s="809"/>
      <c r="J19" s="789"/>
    </row>
    <row r="20" spans="1:10" x14ac:dyDescent="0.35">
      <c r="A20" s="850"/>
      <c r="B20" s="233" t="s">
        <v>2771</v>
      </c>
      <c r="C20" s="250"/>
      <c r="D20" s="157" t="str">
        <f ca="1">VLOOKUP(B20,Questions!$D$4:$F$418,3,FALSE)</f>
        <v>Bodenmarkierungen (ja = -2; nein = 0)</v>
      </c>
      <c r="E20" s="65"/>
      <c r="F20" s="828"/>
      <c r="G20" s="15" t="str">
        <f>IF(COUNTIF(Question_YN_Yes,E20)&gt;0,-2,IF(COUNTIF(Question_YN_No,E20)&gt;0,0,"NA"))</f>
        <v>NA</v>
      </c>
      <c r="H20" s="810"/>
      <c r="I20" s="810"/>
      <c r="J20" s="790"/>
    </row>
    <row r="21" spans="1:10" x14ac:dyDescent="0.35">
      <c r="A21" s="893" t="s">
        <v>10</v>
      </c>
      <c r="B21" s="233" t="s">
        <v>2773</v>
      </c>
      <c r="C21" s="255"/>
      <c r="D21" s="895" t="str">
        <f ca="1">VLOOKUP(B21,Questions!$D$4:$F$418,3,FALSE)</f>
        <v>Schlechte Qualität / Instandhaltungsmängel (Schlaglöcher, Schäden)</v>
      </c>
      <c r="E21" s="830"/>
      <c r="F21" s="830"/>
      <c r="G21" s="831"/>
      <c r="H21" s="753">
        <f>F22/$I$35*$I$37</f>
        <v>-1.4516129032258065</v>
      </c>
      <c r="I21" s="753">
        <f>IF(ISNUMBER(SUM(G22:G24)),SUM(G22:G24)/$I$35*$I$37,0)</f>
        <v>0</v>
      </c>
      <c r="J21" s="747"/>
    </row>
    <row r="22" spans="1:10" x14ac:dyDescent="0.35">
      <c r="A22" s="856"/>
      <c r="B22" s="233" t="s">
        <v>2774</v>
      </c>
      <c r="C22" s="256"/>
      <c r="D22" s="158" t="str">
        <f ca="1">VLOOKUP(B22,Questions!$D$4:$F$418,3,FALSE)</f>
        <v>Boden (ja = -2; nein = 0)</v>
      </c>
      <c r="E22" s="65"/>
      <c r="F22" s="838">
        <v>-6</v>
      </c>
      <c r="G22" s="15" t="str">
        <f>IF(COUNTIF(Question_YN_Yes,E22)&gt;0,-2,IF(COUNTIF(Question_YN_No,E22)&gt;0,0,"NA"))</f>
        <v>NA</v>
      </c>
      <c r="H22" s="738"/>
      <c r="I22" s="738"/>
      <c r="J22" s="748"/>
    </row>
    <row r="23" spans="1:10" x14ac:dyDescent="0.35">
      <c r="A23" s="856"/>
      <c r="B23" s="233" t="s">
        <v>2775</v>
      </c>
      <c r="C23" s="256"/>
      <c r="D23" s="158" t="str">
        <f ca="1">VLOOKUP(B23,Questions!$D$4:$F$418,3,FALSE)</f>
        <v>Wände (ja = -2; nein = 0)</v>
      </c>
      <c r="E23" s="65"/>
      <c r="F23" s="827"/>
      <c r="G23" s="15" t="str">
        <f>IF(COUNTIF(Question_YN_Yes,E23)&gt;0,-2,IF(COUNTIF(Question_YN_No,E23)&gt;0,0,"NA"))</f>
        <v>NA</v>
      </c>
      <c r="H23" s="738"/>
      <c r="I23" s="738"/>
      <c r="J23" s="748"/>
    </row>
    <row r="24" spans="1:10" x14ac:dyDescent="0.35">
      <c r="A24" s="894"/>
      <c r="B24" s="233" t="s">
        <v>2776</v>
      </c>
      <c r="C24" s="256"/>
      <c r="D24" s="158" t="str">
        <f ca="1">VLOOKUP(B24,Questions!$D$4:$F$418,3,FALSE)</f>
        <v>Neigung zur Pfützenbildung (ja = -2; nein = 0)</v>
      </c>
      <c r="E24" s="65"/>
      <c r="F24" s="828"/>
      <c r="G24" s="15" t="str">
        <f>IF(COUNTIF(Question_YN_Yes,E24)&gt;0,-2,IF(COUNTIF(Question_YN_No,E24)&gt;0,0,"NA"))</f>
        <v>NA</v>
      </c>
      <c r="H24" s="754"/>
      <c r="I24" s="754"/>
      <c r="J24" s="749"/>
    </row>
    <row r="25" spans="1:10" x14ac:dyDescent="0.35">
      <c r="A25" s="893" t="s">
        <v>516</v>
      </c>
      <c r="B25" s="233" t="s">
        <v>2777</v>
      </c>
      <c r="C25" s="255"/>
      <c r="D25" s="895" t="str">
        <f ca="1">VLOOKUP(B25,Questions!$D$4:$F$418,3,FALSE)</f>
        <v>Unangenehmer Geruch</v>
      </c>
      <c r="E25" s="830"/>
      <c r="F25" s="830"/>
      <c r="G25" s="831"/>
      <c r="H25" s="753">
        <f>F26/$I$35*$I$37</f>
        <v>-1.4516129032258065</v>
      </c>
      <c r="I25" s="753">
        <f>IF(ISNUMBER(SUM(G26:G28)),SUM(G26:G28)/$I$35*$I$37,0)</f>
        <v>0</v>
      </c>
      <c r="J25" s="747"/>
    </row>
    <row r="26" spans="1:10" x14ac:dyDescent="0.35">
      <c r="A26" s="856"/>
      <c r="B26" s="233" t="s">
        <v>2778</v>
      </c>
      <c r="C26" s="256"/>
      <c r="D26" s="158" t="str">
        <f ca="1">VLOOKUP(B26,Questions!$D$4:$F$418,3,FALSE)</f>
        <v>Aufzüge (ja = 2; nein = 0)</v>
      </c>
      <c r="E26" s="65"/>
      <c r="F26" s="838">
        <v>-6</v>
      </c>
      <c r="G26" s="15" t="str">
        <f>IF(COUNTIF(Question_YN_Yes,E26)&gt;0,-2,IF(COUNTIF(Question_YN_No,E26)&gt;0,0,"NA"))</f>
        <v>NA</v>
      </c>
      <c r="H26" s="738"/>
      <c r="I26" s="738"/>
      <c r="J26" s="748"/>
    </row>
    <row r="27" spans="1:10" x14ac:dyDescent="0.35">
      <c r="A27" s="856"/>
      <c r="B27" s="233" t="s">
        <v>2779</v>
      </c>
      <c r="C27" s="256"/>
      <c r="D27" s="158" t="str">
        <f ca="1">VLOOKUP(B27,Questions!$D$4:$F$418,3,FALSE)</f>
        <v>Treppenhäuser (ja = -2; nein = 0)</v>
      </c>
      <c r="E27" s="65"/>
      <c r="F27" s="827"/>
      <c r="G27" s="15" t="str">
        <f>IF(COUNTIF(Question_YN_Yes,E27)&gt;0,-2,IF(COUNTIF(Question_YN_No,E27)&gt;0,0,"NA"))</f>
        <v>NA</v>
      </c>
      <c r="H27" s="738"/>
      <c r="I27" s="738"/>
      <c r="J27" s="748"/>
    </row>
    <row r="28" spans="1:10" x14ac:dyDescent="0.35">
      <c r="A28" s="894"/>
      <c r="B28" s="233" t="s">
        <v>2780</v>
      </c>
      <c r="C28" s="256"/>
      <c r="D28" s="158" t="str">
        <f ca="1">VLOOKUP(B28,Questions!$D$4:$F$418,3,FALSE)</f>
        <v>Parkbereich (ja = -2; nein = 0)</v>
      </c>
      <c r="E28" s="65"/>
      <c r="F28" s="839"/>
      <c r="G28" s="282" t="str">
        <f>IF(COUNTIF(Question_YN_Yes,E28)&gt;0,-2,IF(COUNTIF(Question_YN_No,E28)&gt;0,0,"NA"))</f>
        <v>NA</v>
      </c>
      <c r="H28" s="754"/>
      <c r="I28" s="754"/>
      <c r="J28" s="749"/>
    </row>
    <row r="29" spans="1:10" ht="25" x14ac:dyDescent="0.35">
      <c r="A29" s="154" t="s">
        <v>11</v>
      </c>
      <c r="B29" s="233" t="s">
        <v>2781</v>
      </c>
      <c r="C29" s="251"/>
      <c r="D29" s="159" t="str">
        <f ca="1">VLOOKUP(B29,Questions!$D$4:$F$418,3,FALSE)</f>
        <v>Mehr als 15% der Stellplätze in Sackgassen ohne Belegungsanzeige (ja = -5; nein = 0)</v>
      </c>
      <c r="E29" s="63"/>
      <c r="F29" s="420">
        <v>-5</v>
      </c>
      <c r="G29" s="421" t="str">
        <f>IF(COUNTIF(Question_YN_Yes,E29)&gt;0,-5,IF(COUNTIF(Question_YN_No,E29)&gt;0,0,"NA"))</f>
        <v>NA</v>
      </c>
      <c r="H29" s="37">
        <f>F29/$I$35*$I$37</f>
        <v>-1.2096774193548387</v>
      </c>
      <c r="I29" s="37">
        <f>IF(ISNUMBER(G29),G29/$I$35*$I$37,0)</f>
        <v>0</v>
      </c>
      <c r="J29" s="102"/>
    </row>
    <row r="30" spans="1:10" ht="36" customHeight="1" x14ac:dyDescent="0.35">
      <c r="A30" s="154" t="s">
        <v>77</v>
      </c>
      <c r="B30" s="233" t="s">
        <v>2782</v>
      </c>
      <c r="C30" s="251"/>
      <c r="D30" s="159" t="str">
        <f ca="1">VLOOKUP(B30,Questions!$D$4:$F$418,3,FALSE)</f>
        <v>Verschiedene Kritikpunte (bitte erläutern!)
[z.B. unerwünschter Lärm, quietschende Reifen, unerwünschte Personen, etc] bis -10</v>
      </c>
      <c r="E30" s="70"/>
      <c r="F30" s="9">
        <v>-10</v>
      </c>
      <c r="G30" s="266" t="str">
        <f>IF(ISNUMBER(E30),E30,"NA")</f>
        <v>NA</v>
      </c>
      <c r="H30" s="37">
        <f>F30/$I$35*$I$37</f>
        <v>-2.4193548387096775</v>
      </c>
      <c r="I30" s="37">
        <f>IF(ISNUMBER(G30),G30/$I$35*$I$37,0)</f>
        <v>0</v>
      </c>
      <c r="J30" s="102"/>
    </row>
    <row r="31" spans="1:10" x14ac:dyDescent="0.35">
      <c r="A31" s="154" t="s">
        <v>1770</v>
      </c>
      <c r="B31" s="233" t="s">
        <v>2783</v>
      </c>
      <c r="C31" s="251"/>
      <c r="D31" s="159" t="str">
        <f ca="1">VLOOKUP(B31,Questions!$D$4:$F$418,3,FALSE)</f>
        <v>Strafabzug für Mindestanforderung (1.4 kommt zur Anwendung)</v>
      </c>
      <c r="E31" s="70"/>
      <c r="F31" s="9">
        <v>-5</v>
      </c>
      <c r="G31" s="15" t="str">
        <f>IF(COUNTIF(Question_YN_Yes,E31)&gt;0,-5,IF(COUNTIF(Question_YN_No,E31)&gt;0,0,"NA"))</f>
        <v>NA</v>
      </c>
      <c r="H31" s="37">
        <f>F31/$I$35*$I$37</f>
        <v>-1.2096774193548387</v>
      </c>
      <c r="I31" s="37">
        <f>IF(ISNUMBER(G31),G31/$I$35*$I$37,0)</f>
        <v>0</v>
      </c>
      <c r="J31" s="102"/>
    </row>
    <row r="32" spans="1:10" x14ac:dyDescent="0.35">
      <c r="A32" s="155"/>
      <c r="B32" s="253"/>
      <c r="C32" s="253"/>
      <c r="D32" s="160" t="str">
        <f ca="1">CONCATENATE(Tags!$B$50," ",$D$1)</f>
        <v>Zwischensummen Minuspunkte</v>
      </c>
      <c r="E32" s="20"/>
      <c r="F32" s="1">
        <f>F5+F11+F17+F17+F26+F29+F30+F31</f>
        <v>-62</v>
      </c>
      <c r="G32" s="14">
        <f>SUM(G4:G31)</f>
        <v>0</v>
      </c>
      <c r="H32" s="7">
        <f>SUM(H4:H30)</f>
        <v>-13.306451612903226</v>
      </c>
      <c r="I32" s="35">
        <f>SUM(I4:I30)</f>
        <v>0</v>
      </c>
      <c r="J32" s="105"/>
    </row>
    <row r="33" spans="1:10" x14ac:dyDescent="0.35"/>
    <row r="34" spans="1:10" s="13" customFormat="1" ht="13" customHeight="1" x14ac:dyDescent="0.35">
      <c r="D34" s="145" t="str">
        <f ca="1">Tags!B30</f>
        <v>Summe der Positionen</v>
      </c>
      <c r="E34" s="77">
        <v>8</v>
      </c>
      <c r="G34" s="145" t="str">
        <f ca="1">Tags!B34</f>
        <v>Punktzahl</v>
      </c>
      <c r="I34" s="79">
        <f>G32</f>
        <v>0</v>
      </c>
      <c r="J34" s="26"/>
    </row>
    <row r="35" spans="1:10" s="13" customFormat="1" ht="13" customHeight="1" x14ac:dyDescent="0.35">
      <c r="D35" s="145" t="str">
        <f ca="1">Tags!B31</f>
        <v>Summe der Positionen und Unterpositionen</v>
      </c>
      <c r="E35" s="77">
        <v>23</v>
      </c>
      <c r="G35" s="145" t="str">
        <f ca="1">Tags!B35</f>
        <v>Maximale Punktzahl</v>
      </c>
      <c r="I35" s="79">
        <f>F32</f>
        <v>-62</v>
      </c>
      <c r="J35" s="26"/>
    </row>
    <row r="36" spans="1:10" s="13" customFormat="1" ht="13" customHeight="1" x14ac:dyDescent="0.35">
      <c r="D36" s="145" t="str">
        <f ca="1">Tags!B32</f>
        <v>vollständige Positionen</v>
      </c>
      <c r="E36" s="79">
        <f>COUNTA(E5:E9,E11:E15,E17:E20,E22:E24,E26:E31)</f>
        <v>0</v>
      </c>
      <c r="G36" s="145" t="str">
        <f ca="1">Tags!B36</f>
        <v>Prozentsatz</v>
      </c>
      <c r="I36" s="80">
        <f>I34/I35</f>
        <v>0</v>
      </c>
      <c r="J36" s="81"/>
    </row>
    <row r="37" spans="1:10" s="13" customFormat="1" ht="13" customHeight="1" x14ac:dyDescent="0.35">
      <c r="D37" s="145" t="str">
        <f ca="1">Tags!B33</f>
        <v>nicht gemessen</v>
      </c>
      <c r="E37" s="79">
        <f>E35-E36</f>
        <v>23</v>
      </c>
      <c r="G37" s="145" t="str">
        <f ca="1">Tags!B37</f>
        <v>Wert der Kategorie</v>
      </c>
      <c r="I37" s="79">
        <f>'Detailed Results'!K18</f>
        <v>-15</v>
      </c>
      <c r="J37" s="26"/>
    </row>
    <row r="38" spans="1:10" ht="24" customHeight="1" x14ac:dyDescent="0.35"/>
    <row r="39" spans="1:10" ht="15.5" x14ac:dyDescent="0.35">
      <c r="A39" s="107" t="str">
        <f ca="1">Tags!B60</f>
        <v>Anmerkungen</v>
      </c>
      <c r="B39" s="107"/>
      <c r="C39" s="107"/>
    </row>
    <row r="40" spans="1:10" x14ac:dyDescent="0.35"/>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sheetData>
  <sheetProtection algorithmName="SHA-512" hashValue="qOu/KJBTMS6WmO20CjPQhCaAtX0tp8ft8itrnJT6j9UqjqJc4efMffwJE5mkuK6GyGhDclBY8g+wWNGBkcZXgg==" saltValue="mIQVWTNBLd59Z87ESUz8ag==" spinCount="100000" sheet="1" formatRows="0" selectLockedCells="1"/>
  <mergeCells count="30">
    <mergeCell ref="J16:J20"/>
    <mergeCell ref="J4:J9"/>
    <mergeCell ref="A10:A15"/>
    <mergeCell ref="H10:H15"/>
    <mergeCell ref="I10:I15"/>
    <mergeCell ref="J10:J15"/>
    <mergeCell ref="A4:A9"/>
    <mergeCell ref="H4:H9"/>
    <mergeCell ref="I4:I9"/>
    <mergeCell ref="A16:A20"/>
    <mergeCell ref="H16:H20"/>
    <mergeCell ref="I16:I20"/>
    <mergeCell ref="D4:G4"/>
    <mergeCell ref="D10:G10"/>
    <mergeCell ref="D16:G16"/>
    <mergeCell ref="F5:F9"/>
    <mergeCell ref="I21:I24"/>
    <mergeCell ref="J21:J24"/>
    <mergeCell ref="A25:A28"/>
    <mergeCell ref="H25:H28"/>
    <mergeCell ref="I25:I28"/>
    <mergeCell ref="J25:J28"/>
    <mergeCell ref="F26:F28"/>
    <mergeCell ref="D21:G21"/>
    <mergeCell ref="D25:G25"/>
    <mergeCell ref="F11:F15"/>
    <mergeCell ref="F17:F20"/>
    <mergeCell ref="F22:F24"/>
    <mergeCell ref="A21:A24"/>
    <mergeCell ref="H21:H24"/>
  </mergeCells>
  <phoneticPr fontId="24" type="noConversion"/>
  <dataValidations count="3">
    <dataValidation type="whole" showInputMessage="1" showErrorMessage="1" sqref="E30" xr:uid="{00000000-0002-0000-0D00-000000000000}">
      <formula1>-10</formula1>
      <formula2>0</formula2>
    </dataValidation>
    <dataValidation type="list" allowBlank="1" showInputMessage="1" showErrorMessage="1" sqref="E5:E9 E11:E15 E17:E20 E22:E24 E26:E29" xr:uid="{00000000-0002-0000-0D00-000001000000}">
      <formula1>YesNo</formula1>
    </dataValidation>
    <dataValidation type="list" showInputMessage="1" showErrorMessage="1" sqref="E31" xr:uid="{00000000-0002-0000-0D00-000002000000}">
      <formula1>YesNo</formula1>
    </dataValidation>
  </dataValidations>
  <printOptions horizontalCentered="1"/>
  <pageMargins left="0.51314960629921258" right="0.51314960629921258" top="0.75000000000000011" bottom="0.75000000000000011" header="0.31" footer="0.31"/>
  <pageSetup paperSize="9" scale="49"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 id="{938677C2-21DD-3146-BC1B-9C965326CBF9}">
            <xm:f>$F$1=Tags!$B$21</xm:f>
            <x14:dxf>
              <font>
                <color rgb="FF9C0006"/>
              </font>
            </x14:dxf>
          </x14:cfRule>
          <xm:sqref>F1:G1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K62"/>
  <sheetViews>
    <sheetView showGridLines="0" zoomScale="169" zoomScaleNormal="169" workbookViewId="0">
      <selection activeCell="J4" sqref="J4:J15"/>
    </sheetView>
  </sheetViews>
  <sheetFormatPr baseColWidth="10" defaultColWidth="0" defaultRowHeight="14.5" zeroHeight="1" x14ac:dyDescent="0.35"/>
  <cols>
    <col min="1" max="1" width="6.81640625" style="4" customWidth="1"/>
    <col min="2" max="3" width="4.81640625" style="4" hidden="1" customWidth="1"/>
    <col min="4" max="4" width="60.453125"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Bot="1" x14ac:dyDescent="0.4">
      <c r="A1" s="481" t="s">
        <v>12</v>
      </c>
      <c r="B1" s="482"/>
      <c r="C1" s="482"/>
      <c r="D1" s="466" t="str">
        <f ca="1">VLOOKUP(A1,Questions!$D$4:$F$418,3,FALSE)</f>
        <v>Bonuspunkte</v>
      </c>
      <c r="E1" s="483"/>
      <c r="F1" s="484"/>
      <c r="G1" s="485" t="str">
        <f ca="1">IF(E35&gt;0,Tags!B21,Tags!B20)</f>
        <v>unvollständig</v>
      </c>
      <c r="H1" s="486" t="s">
        <v>485</v>
      </c>
      <c r="I1" s="487">
        <f>I34*I35</f>
        <v>0</v>
      </c>
      <c r="J1" s="488">
        <f>I34</f>
        <v>0</v>
      </c>
    </row>
    <row r="2" spans="1:10" s="13" customFormat="1" ht="13" customHeight="1" x14ac:dyDescent="0.35"/>
    <row r="3" spans="1:10" ht="42" x14ac:dyDescent="0.35">
      <c r="A3" s="163" t="s">
        <v>12</v>
      </c>
      <c r="B3" s="163"/>
      <c r="C3" s="163"/>
      <c r="D3" s="10" t="str">
        <f ca="1">Tags!B55</f>
        <v>Positionsliste</v>
      </c>
      <c r="E3" s="56" t="str">
        <f ca="1">Tags!B56</f>
        <v>Messwerte</v>
      </c>
      <c r="F3" s="6" t="str">
        <f ca="1">G33</f>
        <v>Maximale Punktzahl</v>
      </c>
      <c r="G3" s="6" t="str">
        <f ca="1">G32</f>
        <v>Punktzahl</v>
      </c>
      <c r="H3" s="327" t="str">
        <f ca="1">Tags!B57</f>
        <v>maximaler Beitrag zum Endergebnis</v>
      </c>
      <c r="I3" s="327" t="str">
        <f ca="1">Tags!B58</f>
        <v>Beitrag zum Endergebnis</v>
      </c>
      <c r="J3" s="327" t="str">
        <f ca="1">Tags!B59</f>
        <v>Anmerkungen</v>
      </c>
    </row>
    <row r="4" spans="1:10" x14ac:dyDescent="0.35">
      <c r="A4" s="900" t="s">
        <v>13</v>
      </c>
      <c r="B4" s="233" t="s">
        <v>2784</v>
      </c>
      <c r="C4" s="369"/>
      <c r="D4" s="899" t="str">
        <f ca="1">VLOOKUP(B4,Questions!$D$4:$F$418,3,FALSE)</f>
        <v>zusätzliche Einrichtungen in der Parkeinrichtung</v>
      </c>
      <c r="E4" s="899"/>
      <c r="F4" s="899"/>
      <c r="G4" s="899"/>
      <c r="H4" s="734">
        <f>F5/$I$33*$I$35</f>
        <v>6.875</v>
      </c>
      <c r="I4" s="903">
        <f>IF(ISNUMBER(SUM(G5:G15)),SUM(G5:G15)/$I$33*$I$35,0)</f>
        <v>0</v>
      </c>
      <c r="J4" s="884"/>
    </row>
    <row r="5" spans="1:10" x14ac:dyDescent="0.35">
      <c r="A5" s="901"/>
      <c r="B5" s="233" t="s">
        <v>2785</v>
      </c>
      <c r="C5" s="368"/>
      <c r="D5" s="370" t="str">
        <f ca="1">VLOOKUP(B5,Questions!$D$4:$F$418,3,FALSE)</f>
        <v>Separater Motorradbereich (ja = 1; nein = 0)</v>
      </c>
      <c r="E5" s="61"/>
      <c r="F5" s="742">
        <v>11</v>
      </c>
      <c r="G5" s="15" t="str">
        <f t="shared" ref="G5:G15" si="0">IF(COUNTIF(Question_YN_Yes,E5)&gt;0,1,IF(COUNTIF(Question_YN_No,E5)&gt;0,0,"NA"))</f>
        <v>NA</v>
      </c>
      <c r="H5" s="738"/>
      <c r="I5" s="904"/>
      <c r="J5" s="885"/>
    </row>
    <row r="6" spans="1:10" x14ac:dyDescent="0.35">
      <c r="A6" s="901"/>
      <c r="B6" s="233" t="s">
        <v>2786</v>
      </c>
      <c r="C6" s="368"/>
      <c r="D6" s="370" t="str">
        <f ca="1">VLOOKUP(B6,Questions!$D$4:$F$418,3,FALSE)</f>
        <v>Schließfächer für Kunden (ja = 1; nein = 0)</v>
      </c>
      <c r="E6" s="61"/>
      <c r="F6" s="743"/>
      <c r="G6" s="15" t="str">
        <f t="shared" si="0"/>
        <v>NA</v>
      </c>
      <c r="H6" s="738"/>
      <c r="I6" s="904"/>
      <c r="J6" s="885"/>
    </row>
    <row r="7" spans="1:10" x14ac:dyDescent="0.35">
      <c r="A7" s="901"/>
      <c r="B7" s="233" t="s">
        <v>2787</v>
      </c>
      <c r="C7" s="368"/>
      <c r="D7" s="370" t="str">
        <f ca="1">VLOOKUP(B7,Questions!$D$4:$F$418,3,FALSE)</f>
        <v>sonstige Hilfen (ja = 1; nein = 0)</v>
      </c>
      <c r="E7" s="61"/>
      <c r="F7" s="743"/>
      <c r="G7" s="15" t="str">
        <f t="shared" si="0"/>
        <v>NA</v>
      </c>
      <c r="H7" s="738"/>
      <c r="I7" s="904"/>
      <c r="J7" s="885"/>
    </row>
    <row r="8" spans="1:10" x14ac:dyDescent="0.35">
      <c r="A8" s="901"/>
      <c r="B8" s="233" t="s">
        <v>2788</v>
      </c>
      <c r="C8" s="368"/>
      <c r="D8" s="370" t="str">
        <f ca="1">VLOOKUP(B8,Questions!$D$4:$F$418,3,FALSE)</f>
        <v>Fahradverleih (ja = 1; nein = 0)</v>
      </c>
      <c r="E8" s="61"/>
      <c r="F8" s="743"/>
      <c r="G8" s="15" t="str">
        <f t="shared" si="0"/>
        <v>NA</v>
      </c>
      <c r="H8" s="738"/>
      <c r="I8" s="904"/>
      <c r="J8" s="885"/>
    </row>
    <row r="9" spans="1:10" x14ac:dyDescent="0.35">
      <c r="A9" s="901"/>
      <c r="B9" s="233" t="s">
        <v>2789</v>
      </c>
      <c r="C9" s="368"/>
      <c r="D9" s="370" t="str">
        <f ca="1">VLOOKUP(B9,Questions!$D$4:$F$418,3,FALSE)</f>
        <v>sonstige Fahrerunterstützung (ja = 1; nein = 0)</v>
      </c>
      <c r="E9" s="61"/>
      <c r="F9" s="743"/>
      <c r="G9" s="15" t="str">
        <f t="shared" si="0"/>
        <v>NA</v>
      </c>
      <c r="H9" s="738"/>
      <c r="I9" s="904"/>
      <c r="J9" s="885"/>
    </row>
    <row r="10" spans="1:10" x14ac:dyDescent="0.35">
      <c r="A10" s="901"/>
      <c r="B10" s="233" t="s">
        <v>2790</v>
      </c>
      <c r="C10" s="368"/>
      <c r="D10" s="370" t="str">
        <f ca="1">VLOOKUP(B10,Questions!$D$4:$F$418,3,FALSE)</f>
        <v>Verkaufsmaschinen (ja = 1; nein = 0)</v>
      </c>
      <c r="E10" s="61"/>
      <c r="F10" s="743"/>
      <c r="G10" s="15" t="str">
        <f t="shared" si="0"/>
        <v>NA</v>
      </c>
      <c r="H10" s="738"/>
      <c r="I10" s="904"/>
      <c r="J10" s="885"/>
    </row>
    <row r="11" spans="1:10" x14ac:dyDescent="0.35">
      <c r="A11" s="901"/>
      <c r="B11" s="233" t="s">
        <v>2791</v>
      </c>
      <c r="C11" s="368"/>
      <c r="D11" s="370" t="str">
        <f ca="1">VLOOKUP(B11,Questions!$D$4:$F$418,3,FALSE)</f>
        <v>Defibrillator (ja = 1; nein = 0)</v>
      </c>
      <c r="E11" s="61"/>
      <c r="F11" s="743"/>
      <c r="G11" s="15" t="str">
        <f t="shared" si="0"/>
        <v>NA</v>
      </c>
      <c r="H11" s="738"/>
      <c r="I11" s="904"/>
      <c r="J11" s="885"/>
    </row>
    <row r="12" spans="1:10" x14ac:dyDescent="0.35">
      <c r="A12" s="901"/>
      <c r="B12" s="233" t="s">
        <v>2792</v>
      </c>
      <c r="C12" s="368"/>
      <c r="D12" s="370" t="str">
        <f ca="1">VLOOKUP(B12,Questions!$D$4:$F$418,3,FALSE)</f>
        <v>Personal mit Erster Hilfe-Ausbildung (ja = 1; nein = 0)</v>
      </c>
      <c r="E12" s="61"/>
      <c r="F12" s="743"/>
      <c r="G12" s="15" t="str">
        <f t="shared" si="0"/>
        <v>NA</v>
      </c>
      <c r="H12" s="738"/>
      <c r="I12" s="904"/>
      <c r="J12" s="885"/>
    </row>
    <row r="13" spans="1:10" x14ac:dyDescent="0.35">
      <c r="A13" s="901"/>
      <c r="B13" s="233" t="s">
        <v>2793</v>
      </c>
      <c r="C13" s="368"/>
      <c r="D13" s="370" t="str">
        <f ca="1">VLOOKUP(B13,Questions!$D$4:$F$418,3,FALSE)</f>
        <v>Echtzeit-Verkehrsdaten (ja = 1; nein = 0)</v>
      </c>
      <c r="E13" s="61"/>
      <c r="F13" s="743"/>
      <c r="G13" s="15" t="str">
        <f t="shared" si="0"/>
        <v>NA</v>
      </c>
      <c r="H13" s="738"/>
      <c r="I13" s="904"/>
      <c r="J13" s="885"/>
    </row>
    <row r="14" spans="1:10" x14ac:dyDescent="0.35">
      <c r="A14" s="901"/>
      <c r="B14" s="233" t="s">
        <v>2794</v>
      </c>
      <c r="C14" s="368"/>
      <c r="D14" s="370" t="str">
        <f ca="1">VLOOKUP(B14,Questions!$D$4:$F$418,3,FALSE)</f>
        <v>Datenaustausch via APDS Standard (ja = 1; nein = 0)</v>
      </c>
      <c r="E14" s="61"/>
      <c r="F14" s="743"/>
      <c r="G14" s="15" t="str">
        <f t="shared" si="0"/>
        <v>NA</v>
      </c>
      <c r="H14" s="738"/>
      <c r="I14" s="904"/>
      <c r="J14" s="885"/>
    </row>
    <row r="15" spans="1:10" ht="25" x14ac:dyDescent="0.35">
      <c r="A15" s="902"/>
      <c r="B15" s="233" t="s">
        <v>2795</v>
      </c>
      <c r="C15" s="251"/>
      <c r="D15" s="370" t="str">
        <f ca="1">VLOOKUP(B15,Questions!$D$4:$F$418,3,FALSE)</f>
        <v>sonstige Echtzeit-Informationen (z.B. lokale Veranstaltungen) (ja = 1; nein = 0)</v>
      </c>
      <c r="E15" s="371"/>
      <c r="F15" s="733"/>
      <c r="G15" s="282" t="str">
        <f t="shared" si="0"/>
        <v>NA</v>
      </c>
      <c r="H15" s="735"/>
      <c r="I15" s="905"/>
      <c r="J15" s="886"/>
    </row>
    <row r="16" spans="1:10" ht="25" x14ac:dyDescent="0.35">
      <c r="A16" s="154" t="s">
        <v>14</v>
      </c>
      <c r="B16" s="233" t="s">
        <v>2796</v>
      </c>
      <c r="C16" s="251"/>
      <c r="D16" s="159" t="str">
        <f ca="1">VLOOKUP(B16,Questions!$D$4:$F$418,3,FALSE)</f>
        <v>Maßnahmen, um Staus in Stoßzeiten zu verhindern (z.B. Wechselspuren) (ja = 3; nein = 0)</v>
      </c>
      <c r="E16" s="70"/>
      <c r="F16" s="420">
        <v>3</v>
      </c>
      <c r="G16" s="421" t="str">
        <f>IF(COUNTIF(Question_YN_Yes,E16)&gt;0,3,IF(COUNTIF(Question_YN_No,E16)&gt;0,0,"NA"))</f>
        <v>NA</v>
      </c>
      <c r="H16" s="422">
        <f t="shared" ref="H16:H27" si="1">F16/$I$33*$I$35</f>
        <v>1.875</v>
      </c>
      <c r="I16" s="34">
        <f t="shared" ref="I16:I27" si="2">IF(ISNUMBER(G16),G16/$I$33*$I$35,0)</f>
        <v>0</v>
      </c>
      <c r="J16" s="269"/>
    </row>
    <row r="17" spans="1:10" ht="25" x14ac:dyDescent="0.35">
      <c r="A17" s="154" t="s">
        <v>15</v>
      </c>
      <c r="B17" s="233" t="s">
        <v>2797</v>
      </c>
      <c r="C17" s="251"/>
      <c r="D17" s="159" t="str">
        <f ca="1">VLOOKUP(B17,Questions!$D$4:$F$418,3,FALSE)</f>
        <v>Wendemöglichkeit vor der Höhenbeschränkung oder rechtzeitige Anzeige, um ein Wenden zu verhindern. (ja = 3; nein = 0)</v>
      </c>
      <c r="E17" s="70"/>
      <c r="F17" s="9">
        <v>3</v>
      </c>
      <c r="G17" s="421" t="str">
        <f>IF(COUNTIF(Question_YN_Yes,E17)&gt;0,3,IF(COUNTIF(Question_YN_No,E17)&gt;0,0,"NA"))</f>
        <v>NA</v>
      </c>
      <c r="H17" s="34">
        <f t="shared" si="1"/>
        <v>1.875</v>
      </c>
      <c r="I17" s="34">
        <f t="shared" si="2"/>
        <v>0</v>
      </c>
      <c r="J17" s="86"/>
    </row>
    <row r="18" spans="1:10" x14ac:dyDescent="0.35">
      <c r="A18" s="154" t="s">
        <v>16</v>
      </c>
      <c r="B18" s="233" t="s">
        <v>2798</v>
      </c>
      <c r="C18" s="252"/>
      <c r="D18" s="161" t="str">
        <f ca="1">VLOOKUP(B18,Questions!$D$4:$F$418,3,FALSE)</f>
        <v>(besetzter) Kundenschalter (ja = 1; nein = 0)</v>
      </c>
      <c r="E18" s="70"/>
      <c r="F18" s="12">
        <v>1</v>
      </c>
      <c r="G18" s="421" t="str">
        <f>IF(COUNTIF(Question_YN_Yes,E18)&gt;0,1,IF(COUNTIF(Question_YN_No,E18)&gt;0,0,"NA"))</f>
        <v>NA</v>
      </c>
      <c r="H18" s="34">
        <f t="shared" si="1"/>
        <v>0.625</v>
      </c>
      <c r="I18" s="34">
        <f t="shared" si="2"/>
        <v>0</v>
      </c>
      <c r="J18" s="102"/>
    </row>
    <row r="19" spans="1:10" s="13" customFormat="1" ht="37.5" x14ac:dyDescent="0.35">
      <c r="A19" s="156" t="s">
        <v>108</v>
      </c>
      <c r="B19" s="233" t="s">
        <v>2799</v>
      </c>
      <c r="C19" s="252"/>
      <c r="D19" s="161" t="str">
        <f ca="1">VLOOKUP(B19,Questions!$D$4:$F$418,3,FALSE)</f>
        <v>Rolltreppen und/oder Rollbänder
(in/von allen Ebenen = 5; in/von einigen Ebenen = 3; keine = 0)</v>
      </c>
      <c r="E19" s="70"/>
      <c r="F19" s="12">
        <v>5</v>
      </c>
      <c r="G19" s="421" t="str">
        <f>IF(COUNTIF(Q_B_5_All_Levels,E19)&gt;0,5,(IF(COUNTIF(Q_B_5_Some_Levels,E19)&gt;0,3,(IF(COUNTIF(Q_B_5_None,E19)&gt;0,0,"NA")))))</f>
        <v>NA</v>
      </c>
      <c r="H19" s="34">
        <f t="shared" si="1"/>
        <v>3.125</v>
      </c>
      <c r="I19" s="34">
        <f t="shared" si="2"/>
        <v>0</v>
      </c>
      <c r="J19" s="102"/>
    </row>
    <row r="20" spans="1:10" ht="25" x14ac:dyDescent="0.35">
      <c r="A20" s="156" t="s">
        <v>517</v>
      </c>
      <c r="B20" s="233" t="s">
        <v>2800</v>
      </c>
      <c r="C20" s="251"/>
      <c r="D20" s="159" t="str">
        <f ca="1">VLOOKUP(B20,Questions!$D$4:$F$418,3,FALSE)</f>
        <v>Auffindbarkeit des geparkten Fahrzeugs anhand des Tickets oder Kennzeichens (ja = 1; nein ) 0)</v>
      </c>
      <c r="E20" s="70"/>
      <c r="F20" s="12">
        <v>1</v>
      </c>
      <c r="G20" s="421" t="str">
        <f>IF(COUNTIF(Question_YN_Yes,E20)&gt;0,1,IF(COUNTIF(Question_YN_No,E20)&gt;0,0,"NA"))</f>
        <v>NA</v>
      </c>
      <c r="H20" s="34">
        <f t="shared" si="1"/>
        <v>0.625</v>
      </c>
      <c r="I20" s="34">
        <f t="shared" si="2"/>
        <v>0</v>
      </c>
      <c r="J20" s="102"/>
    </row>
    <row r="21" spans="1:10" x14ac:dyDescent="0.35">
      <c r="A21" s="154" t="s">
        <v>518</v>
      </c>
      <c r="B21" s="233" t="s">
        <v>2801</v>
      </c>
      <c r="C21" s="251"/>
      <c r="D21" s="159" t="str">
        <f ca="1">VLOOKUP(B21,Questions!$D$4:$F$418,3,FALSE)</f>
        <v>Schrankenloses Parken mit Kennzeichenerkennung (Free Flow): 1 Zusatzpunkt</v>
      </c>
      <c r="E21" s="70"/>
      <c r="F21" s="12">
        <v>1</v>
      </c>
      <c r="G21" s="421" t="str">
        <f>IF(COUNTIF(Question_YN_Yes,E21)&gt;0,1,IF(COUNTIF(Question_YN_No,E21)&gt;0,0,"NA"))</f>
        <v>NA</v>
      </c>
      <c r="H21" s="34">
        <f t="shared" si="1"/>
        <v>0.625</v>
      </c>
      <c r="I21" s="34">
        <f t="shared" si="2"/>
        <v>0</v>
      </c>
      <c r="J21" s="102"/>
    </row>
    <row r="22" spans="1:10" ht="25" x14ac:dyDescent="0.35">
      <c r="A22" s="156" t="s">
        <v>2809</v>
      </c>
      <c r="B22" s="233" t="s">
        <v>2802</v>
      </c>
      <c r="C22" s="251"/>
      <c r="D22" s="159" t="str">
        <f ca="1">VLOOKUP(B22,Questions!$D$4:$F$418,3,FALSE)</f>
        <v>Park &amp; Ride / öffentlicher Verkehrsknotenpunkt beim Fußgängerausgang: ja = 1; nein = 0; Anzeige der aktuellen Abfahrtszeiten: 1 Zusatzpunkt</v>
      </c>
      <c r="E22" s="70"/>
      <c r="F22" s="9">
        <v>2</v>
      </c>
      <c r="G22" s="421" t="str">
        <f>IF(COUNTIF(Q_B_8_Yes,E22)&gt;0,1,(IF(COUNTIF(Q_B_8_No,E22)&gt;0,0,(IF(COUNTIF(Q_B_8_Departure_Times,E22)&gt;0,2,"NA")))))</f>
        <v>NA</v>
      </c>
      <c r="H22" s="34">
        <f t="shared" si="1"/>
        <v>1.25</v>
      </c>
      <c r="I22" s="34">
        <f t="shared" si="2"/>
        <v>0</v>
      </c>
      <c r="J22" s="102"/>
    </row>
    <row r="23" spans="1:10" ht="25" x14ac:dyDescent="0.35">
      <c r="A23" s="154" t="s">
        <v>2810</v>
      </c>
      <c r="B23" s="233" t="s">
        <v>2803</v>
      </c>
      <c r="C23" s="251"/>
      <c r="D23" s="159" t="str">
        <f ca="1">VLOOKUP(B23,Questions!$D$4:$F$418,3,FALSE)</f>
        <v>Unterstützung von autonomen Fahrzeugen (AVP) in eigenen Bereichen der Parkeinrichtung: ja = 5; nein = 0</v>
      </c>
      <c r="E23" s="70"/>
      <c r="F23" s="12">
        <v>5</v>
      </c>
      <c r="G23" s="421" t="str">
        <f>IF(COUNTIF(Question_YN_Yes,E23)&gt;0,5,IF(COUNTIF(Question_YN_No,E23)&gt;0,0,"NA"))</f>
        <v>NA</v>
      </c>
      <c r="H23" s="34">
        <f t="shared" si="1"/>
        <v>3.125</v>
      </c>
      <c r="I23" s="34">
        <f t="shared" si="2"/>
        <v>0</v>
      </c>
      <c r="J23" s="102"/>
    </row>
    <row r="24" spans="1:10" ht="37.5" x14ac:dyDescent="0.35">
      <c r="A24" s="156" t="s">
        <v>2811</v>
      </c>
      <c r="B24" s="233" t="s">
        <v>2804</v>
      </c>
      <c r="C24" s="251"/>
      <c r="D24" s="159" t="str">
        <f ca="1">VLOOKUP(B24,Questions!$D$4:$F$418,3,FALSE)</f>
        <v>Sonstige positive Punke: z.B. besonderer Service, freundliche Mitarbeiter, Fliesen an den Wänden / Böden; gutes Einfügen der Parkeinrichtung in das Stadtbild: bis zu 10 Punkte extra (bitte ausführen)</v>
      </c>
      <c r="E24" s="70"/>
      <c r="F24" s="9">
        <v>10</v>
      </c>
      <c r="G24" s="575" t="str">
        <f t="shared" ref="G24" si="3">IF(ISNUMBER(E24),E24,"NA")</f>
        <v>NA</v>
      </c>
      <c r="H24" s="34">
        <f t="shared" si="1"/>
        <v>6.25</v>
      </c>
      <c r="I24" s="34">
        <f t="shared" si="2"/>
        <v>0</v>
      </c>
      <c r="J24" s="102"/>
    </row>
    <row r="25" spans="1:10" x14ac:dyDescent="0.35">
      <c r="A25" s="154" t="s">
        <v>2812</v>
      </c>
      <c r="B25" s="233" t="s">
        <v>2805</v>
      </c>
      <c r="C25" s="251"/>
      <c r="D25" s="159" t="str">
        <f ca="1">VLOOKUP(B25,Questions!$D$4:$F$418,3,FALSE)</f>
        <v>Wurde ein Lebenszyklus für das Gebäude erstellt und veröffentlicht? (ja = 1; nein = 0)</v>
      </c>
      <c r="E25" s="70"/>
      <c r="F25" s="12">
        <v>1</v>
      </c>
      <c r="G25" s="421" t="str">
        <f>IF(COUNTIF(Question_YN_Yes,E25)&gt;0,1,IF(COUNTIF(Question_YN_No,E25)&gt;0,0,"NA"))</f>
        <v>NA</v>
      </c>
      <c r="H25" s="34">
        <f t="shared" si="1"/>
        <v>0.625</v>
      </c>
      <c r="I25" s="34">
        <f t="shared" si="2"/>
        <v>0</v>
      </c>
      <c r="J25" s="102"/>
    </row>
    <row r="26" spans="1:10" ht="25" x14ac:dyDescent="0.35">
      <c r="A26" s="156" t="s">
        <v>2813</v>
      </c>
      <c r="B26" s="233" t="s">
        <v>2807</v>
      </c>
      <c r="C26" s="251"/>
      <c r="D26" s="159" t="str">
        <f ca="1">VLOOKUP(B26,Questions!$D$4:$F$418,3,FALSE)</f>
        <v>Gibt es einen Nachhaltigkeitsplan (inkl. Recycling nach Nutzungsende)? (ja = 1; nein = 0)</v>
      </c>
      <c r="E26" s="70"/>
      <c r="F26" s="12">
        <v>1</v>
      </c>
      <c r="G26" s="421" t="str">
        <f>IF(COUNTIF(Question_YN_Yes,E26)&gt;0,1,IF(COUNTIF(Question_YN_No,E26)&gt;0,0,"NA"))</f>
        <v>NA</v>
      </c>
      <c r="H26" s="34">
        <f t="shared" si="1"/>
        <v>0.625</v>
      </c>
      <c r="I26" s="34">
        <f t="shared" si="2"/>
        <v>0</v>
      </c>
      <c r="J26" s="102"/>
    </row>
    <row r="27" spans="1:10" ht="25" x14ac:dyDescent="0.35">
      <c r="A27" s="154" t="s">
        <v>2814</v>
      </c>
      <c r="B27" s="233" t="s">
        <v>2808</v>
      </c>
      <c r="C27" s="251"/>
      <c r="D27" s="159" t="str">
        <f ca="1">VLOOKUP(B27,Questions!$D$4:$F$418,3,FALSE)</f>
        <v>Wird der tägliche, monatliche und jährliche Energiebedarf im Fußgängerbereich angezeigt? (ja = 1; nein = 0)</v>
      </c>
      <c r="E27" s="70"/>
      <c r="F27" s="12">
        <v>1</v>
      </c>
      <c r="G27" s="421" t="str">
        <f>IF(COUNTIF(Question_YN_Yes,E27)&gt;0,1,IF(COUNTIF(Question_YN_No,E27)&gt;0,0,"NA"))</f>
        <v>NA</v>
      </c>
      <c r="H27" s="34">
        <f t="shared" si="1"/>
        <v>0.625</v>
      </c>
      <c r="I27" s="34">
        <f t="shared" si="2"/>
        <v>0</v>
      </c>
      <c r="J27" s="102"/>
    </row>
    <row r="28" spans="1:10" x14ac:dyDescent="0.35">
      <c r="A28" s="130"/>
      <c r="B28" s="233"/>
      <c r="D28" s="160" t="str">
        <f ca="1">CONCATENATE(Tags!$B$50," ",$D$1)</f>
        <v>Zwischensummen Bonuspunkte</v>
      </c>
      <c r="E28" s="106"/>
      <c r="F28" s="1">
        <f>SUM(F4:F20)</f>
        <v>24</v>
      </c>
      <c r="G28" s="14">
        <f>SUM(G5:G27,G4)</f>
        <v>0</v>
      </c>
      <c r="H28" s="7">
        <f>SUM(H4:H27)</f>
        <v>28.125</v>
      </c>
      <c r="I28" s="14">
        <f>SUM(I4:I27)</f>
        <v>0</v>
      </c>
      <c r="J28" s="108"/>
    </row>
    <row r="29" spans="1:10" x14ac:dyDescent="0.35">
      <c r="A29" s="130"/>
      <c r="B29" s="233"/>
    </row>
    <row r="30" spans="1:10" x14ac:dyDescent="0.35">
      <c r="A30" s="130"/>
      <c r="B30" s="233"/>
    </row>
    <row r="31" spans="1:10" x14ac:dyDescent="0.35">
      <c r="A31" s="130"/>
    </row>
    <row r="32" spans="1:10" s="13" customFormat="1" ht="13" customHeight="1" x14ac:dyDescent="0.35">
      <c r="D32" s="145" t="str">
        <f ca="1">Tags!B30</f>
        <v>Summe der Positionen</v>
      </c>
      <c r="E32" s="77">
        <v>13</v>
      </c>
      <c r="G32" s="145" t="str">
        <f ca="1">Tags!B34</f>
        <v>Punktzahl</v>
      </c>
      <c r="I32" s="79">
        <f>G28</f>
        <v>0</v>
      </c>
      <c r="J32" s="26"/>
    </row>
    <row r="33" spans="1:10" s="13" customFormat="1" ht="13" customHeight="1" x14ac:dyDescent="0.35">
      <c r="D33" s="145" t="str">
        <f ca="1">Tags!B31</f>
        <v>Summe der Positionen und Unterpositionen</v>
      </c>
      <c r="E33" s="77">
        <f ca="1">COUNTA(D5:D27)</f>
        <v>23</v>
      </c>
      <c r="G33" s="145" t="str">
        <f ca="1">Tags!B35</f>
        <v>Maximale Punktzahl</v>
      </c>
      <c r="I33" s="79">
        <f>F28</f>
        <v>24</v>
      </c>
      <c r="J33" s="26"/>
    </row>
    <row r="34" spans="1:10" s="13" customFormat="1" ht="13" customHeight="1" x14ac:dyDescent="0.35">
      <c r="D34" s="145" t="str">
        <f ca="1">Tags!B32</f>
        <v>vollständige Positionen</v>
      </c>
      <c r="E34" s="79">
        <f>COUNTA(E5:E27)</f>
        <v>0</v>
      </c>
      <c r="G34" s="145" t="str">
        <f ca="1">Tags!B36</f>
        <v>Prozentsatz</v>
      </c>
      <c r="I34" s="80">
        <f>I32/I33</f>
        <v>0</v>
      </c>
      <c r="J34" s="81"/>
    </row>
    <row r="35" spans="1:10" s="13" customFormat="1" ht="13" customHeight="1" x14ac:dyDescent="0.35">
      <c r="D35" s="145" t="str">
        <f ca="1">Tags!B33</f>
        <v>nicht gemessen</v>
      </c>
      <c r="E35" s="79">
        <f ca="1">E33-E34</f>
        <v>23</v>
      </c>
      <c r="G35" s="145" t="str">
        <f ca="1">Tags!B37</f>
        <v>Wert der Kategorie</v>
      </c>
      <c r="I35" s="79">
        <f>'Detailed Results'!K19</f>
        <v>15</v>
      </c>
      <c r="J35" s="26"/>
    </row>
    <row r="36" spans="1:10" x14ac:dyDescent="0.35">
      <c r="A36" s="130"/>
    </row>
    <row r="37" spans="1:10" x14ac:dyDescent="0.35">
      <c r="A37" s="130"/>
    </row>
    <row r="38" spans="1:10" ht="15.5" x14ac:dyDescent="0.35">
      <c r="A38" s="164" t="str">
        <f ca="1">Tags!B60</f>
        <v>Anmerkungen</v>
      </c>
      <c r="B38" s="107"/>
      <c r="C38" s="107"/>
    </row>
    <row r="39" spans="1:10" x14ac:dyDescent="0.35">
      <c r="A39" s="130"/>
    </row>
    <row r="40" spans="1:10" x14ac:dyDescent="0.35">
      <c r="A40" s="130"/>
    </row>
    <row r="41" spans="1:10" x14ac:dyDescent="0.35">
      <c r="A41" s="130"/>
    </row>
    <row r="42" spans="1:10" x14ac:dyDescent="0.35">
      <c r="A42" s="130"/>
    </row>
    <row r="43" spans="1:10" x14ac:dyDescent="0.35">
      <c r="A43" s="130"/>
    </row>
    <row r="44" spans="1:10" x14ac:dyDescent="0.35">
      <c r="A44" s="130"/>
    </row>
    <row r="45" spans="1:10" x14ac:dyDescent="0.35">
      <c r="A45" s="130"/>
    </row>
    <row r="46" spans="1:10" x14ac:dyDescent="0.35">
      <c r="A46" s="130"/>
    </row>
    <row r="47" spans="1:10" x14ac:dyDescent="0.35">
      <c r="A47" s="130"/>
    </row>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sheetData>
  <sheetProtection algorithmName="SHA-512" hashValue="gPA0IHzMjCkoHW9/81JqTYM8zuiRwSSnx8C067DlGVHnKXIO8sjtIu7HvU06TQtAcLWgkMFO9FIa+aLjO8b4bQ==" saltValue="QkOijUB8IrTivovvoQBBQA==" spinCount="100000" sheet="1" formatRows="0" selectLockedCells="1"/>
  <mergeCells count="6">
    <mergeCell ref="J4:J15"/>
    <mergeCell ref="D4:G4"/>
    <mergeCell ref="A4:A15"/>
    <mergeCell ref="F5:F15"/>
    <mergeCell ref="H4:H15"/>
    <mergeCell ref="I4:I15"/>
  </mergeCells>
  <phoneticPr fontId="24" type="noConversion"/>
  <dataValidations count="2">
    <dataValidation type="whole" showInputMessage="1" showErrorMessage="1" sqref="E24" xr:uid="{00000000-0002-0000-0E00-000000000000}">
      <formula1>0</formula1>
      <formula2>10</formula2>
    </dataValidation>
    <dataValidation type="list" allowBlank="1" showInputMessage="1" showErrorMessage="1" sqref="E5:E18 E20:E21 E23 E25:E27" xr:uid="{00000000-0002-0000-0E00-000001000000}">
      <formula1>YesNo</formula1>
    </dataValidation>
  </dataValidations>
  <printOptions horizontalCentered="1"/>
  <pageMargins left="0.51314960629921258" right="0.51314960629921258" top="0.75000000000000011" bottom="0.75000000000000011" header="0.31" footer="0.31"/>
  <pageSetup paperSize="9" scale="47"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 id="{DE0613EC-099E-EB4B-90C6-8E3A36D9C45E}">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8246CF0C-B27A-934E-BB9F-AE7D7BDC1438}">
          <x14:formula1>
            <xm:f>Answers!$B$259:$B$261</xm:f>
          </x14:formula1>
          <xm:sqref>E19</xm:sqref>
        </x14:dataValidation>
        <x14:dataValidation type="list" showInputMessage="1" showErrorMessage="1" xr:uid="{CD1D3D7E-E4E6-7B46-A14B-2B8095596C03}">
          <x14:formula1>
            <xm:f>Answers!B263:B265</xm:f>
          </x14:formula1>
          <xm:sqref>E22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pageSetUpPr fitToPage="1"/>
  </sheetPr>
  <dimension ref="A1:J42"/>
  <sheetViews>
    <sheetView showGridLines="0" zoomScaleNormal="100" workbookViewId="0">
      <selection activeCell="E4" sqref="E4"/>
    </sheetView>
  </sheetViews>
  <sheetFormatPr baseColWidth="10" defaultColWidth="0" defaultRowHeight="14" zeroHeight="1" x14ac:dyDescent="0.3"/>
  <cols>
    <col min="1" max="1" width="5.1796875" style="5" customWidth="1"/>
    <col min="2" max="3" width="5.1796875" style="5" hidden="1" customWidth="1"/>
    <col min="4" max="4" width="49.26953125" style="5" customWidth="1"/>
    <col min="5" max="6" width="13.81640625" style="5" customWidth="1"/>
    <col min="7" max="7" width="13.7265625" style="5" customWidth="1"/>
    <col min="8" max="8" width="10.81640625" style="5" customWidth="1"/>
    <col min="9" max="9" width="13.26953125" style="5" customWidth="1"/>
    <col min="10" max="10" width="0.453125" style="5" customWidth="1"/>
    <col min="11" max="16384" width="10.81640625" style="5" hidden="1"/>
  </cols>
  <sheetData>
    <row r="1" spans="1:9" ht="23.5" thickBot="1" x14ac:dyDescent="0.35">
      <c r="A1" s="465" t="str">
        <f ca="1">Tags!B71</f>
        <v>Globale Bewertung - Gold Award</v>
      </c>
      <c r="B1" s="466"/>
      <c r="C1" s="466"/>
      <c r="D1" s="466"/>
      <c r="E1" s="467"/>
      <c r="F1" s="466"/>
      <c r="G1" s="466"/>
      <c r="H1" s="470" t="str">
        <f ca="1">Tags!B49</f>
        <v>% Vollständigkeit</v>
      </c>
      <c r="I1" s="471">
        <f>E9/3</f>
        <v>0</v>
      </c>
    </row>
    <row r="2" spans="1:9" x14ac:dyDescent="0.3">
      <c r="A2" s="13"/>
      <c r="B2" s="13"/>
      <c r="C2" s="13"/>
      <c r="D2" s="13"/>
      <c r="E2" s="13"/>
      <c r="F2" s="13"/>
      <c r="G2" s="13"/>
      <c r="H2" s="13"/>
      <c r="I2" s="13"/>
    </row>
    <row r="3" spans="1:9" ht="20" x14ac:dyDescent="0.3">
      <c r="A3" s="143" t="str">
        <f ca="1">Tags!B69</f>
        <v>Mindestbedingungen für den Gold Award</v>
      </c>
      <c r="B3" s="372"/>
      <c r="C3" s="372"/>
      <c r="D3" s="144"/>
      <c r="E3" s="142" t="str">
        <f ca="1">'1. Mandatory Conditions'!E3</f>
        <v>übereinstimmend</v>
      </c>
      <c r="F3" s="906" t="str">
        <f ca="1">Tags!B23</f>
        <v>Kommentare</v>
      </c>
      <c r="G3" s="907"/>
      <c r="H3" s="907"/>
      <c r="I3" s="908"/>
    </row>
    <row r="4" spans="1:9" ht="42" x14ac:dyDescent="0.3">
      <c r="A4" s="3" t="s">
        <v>18</v>
      </c>
      <c r="B4" s="3" t="s">
        <v>2815</v>
      </c>
      <c r="C4" s="3"/>
      <c r="D4" s="136" t="str">
        <f ca="1">VLOOKUP(B4,Questions!$D$4:$F$418,3,FALSE)</f>
        <v>Mindestdurchfahrtshöhe = 2,00 m  im öffentlich zugänglichen Bereich. Einzelne niedrigere Stellen müssen deutlich gekennzeichnet sein.</v>
      </c>
      <c r="E4" s="58"/>
      <c r="F4" s="909"/>
      <c r="G4" s="910"/>
      <c r="H4" s="910"/>
      <c r="I4" s="624"/>
    </row>
    <row r="5" spans="1:9" ht="28.5" customHeight="1" x14ac:dyDescent="0.3">
      <c r="A5" s="3" t="s">
        <v>20</v>
      </c>
      <c r="B5" s="3" t="s">
        <v>2816</v>
      </c>
      <c r="C5" s="3"/>
      <c r="D5" s="136" t="str">
        <f ca="1">VLOOKUP(B5,Questions!$D$4:$F$418,3,FALSE)</f>
        <v>70% der Stellplätze müssen mindestens 2,40m breit sein</v>
      </c>
      <c r="E5" s="58"/>
      <c r="F5" s="909"/>
      <c r="G5" s="910"/>
      <c r="H5" s="910"/>
      <c r="I5" s="624"/>
    </row>
    <row r="6" spans="1:9" ht="28" x14ac:dyDescent="0.3">
      <c r="A6" s="3" t="s">
        <v>1767</v>
      </c>
      <c r="B6" s="3" t="s">
        <v>2817</v>
      </c>
      <c r="C6" s="3"/>
      <c r="D6" s="136" t="str">
        <f ca="1">VLOOKUP(B6,Questions!$D$4:$F$418,3,FALSE)</f>
        <v>Durchschnittliche Ausleuchtung der Parkfläche beträgt mindestens 50 Lux</v>
      </c>
      <c r="E6" s="58"/>
      <c r="F6" s="911"/>
      <c r="G6" s="912"/>
      <c r="H6" s="912"/>
      <c r="I6" s="913"/>
    </row>
    <row r="7" spans="1:9" ht="24" customHeight="1" x14ac:dyDescent="0.3">
      <c r="A7" s="13"/>
      <c r="B7" s="13"/>
      <c r="C7" s="13"/>
      <c r="D7" s="13"/>
      <c r="E7" s="13"/>
      <c r="F7" s="13"/>
      <c r="G7" s="13"/>
      <c r="H7" s="13"/>
      <c r="I7" s="13"/>
    </row>
    <row r="8" spans="1:9" ht="54" customHeight="1" x14ac:dyDescent="0.3">
      <c r="A8" s="669" t="str">
        <f ca="1">Tags!B39</f>
        <v>Kategorie</v>
      </c>
      <c r="B8" s="670"/>
      <c r="C8" s="670"/>
      <c r="D8" s="670"/>
      <c r="E8" s="30" t="str">
        <f ca="1">Tags!B41</f>
        <v>Anzahl der Übereinstimmungen</v>
      </c>
      <c r="F8" s="30" t="str">
        <f ca="1">Tags!B42</f>
        <v>Anzahl der Mängel</v>
      </c>
      <c r="G8" s="55"/>
      <c r="H8" s="13"/>
      <c r="I8" s="30" t="str">
        <f ca="1">+'Detailed Results'!M6</f>
        <v>Status</v>
      </c>
    </row>
    <row r="9" spans="1:9" x14ac:dyDescent="0.3">
      <c r="A9" s="53">
        <v>1</v>
      </c>
      <c r="B9" s="23"/>
      <c r="C9" s="23"/>
      <c r="D9" s="76" t="str">
        <f ca="1">'1. Mandatory Conditions'!C1</f>
        <v>Erforderliche Mindestkriterien</v>
      </c>
      <c r="E9" s="77">
        <f>COUNTIF($E$4:$E$6,Answers!B20)</f>
        <v>0</v>
      </c>
      <c r="F9" s="77">
        <f>COUNTIF($E$4:$E$6,Answers!B21)</f>
        <v>0</v>
      </c>
      <c r="G9" s="21"/>
      <c r="H9" s="13"/>
      <c r="I9" s="77" t="str">
        <f ca="1">IF('Detailed Results'!M4=pass,IF(F9&gt;0,fail,IF(E9=3,pass,incomplete)),'Detailed Results'!M4)</f>
        <v>nicht bestanden</v>
      </c>
    </row>
    <row r="10" spans="1:9" x14ac:dyDescent="0.3">
      <c r="A10" s="13"/>
      <c r="B10" s="13"/>
      <c r="C10" s="13"/>
      <c r="D10" s="13"/>
      <c r="E10" s="13"/>
      <c r="F10" s="13"/>
      <c r="G10" s="13"/>
      <c r="H10" s="13"/>
      <c r="I10" s="13"/>
    </row>
    <row r="11" spans="1:9" x14ac:dyDescent="0.3"/>
    <row r="12" spans="1:9" x14ac:dyDescent="0.3"/>
    <row r="13" spans="1:9" x14ac:dyDescent="0.3"/>
    <row r="14" spans="1:9" x14ac:dyDescent="0.3"/>
    <row r="15" spans="1:9" x14ac:dyDescent="0.3"/>
    <row r="16" spans="1:9" x14ac:dyDescent="0.3"/>
    <row r="17" x14ac:dyDescent="0.3"/>
    <row r="18" x14ac:dyDescent="0.3"/>
    <row r="19" x14ac:dyDescent="0.3"/>
    <row r="20" x14ac:dyDescent="0.3"/>
    <row r="21" x14ac:dyDescent="0.3"/>
    <row r="22" x14ac:dyDescent="0.3"/>
    <row r="23" x14ac:dyDescent="0.3"/>
    <row r="24" x14ac:dyDescent="0.3"/>
    <row r="25" x14ac:dyDescent="0.3"/>
    <row r="26"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sheetData>
  <sheetProtection algorithmName="SHA-512" hashValue="3JYxng6IArRuDm6tyk1Wrxp4F8OgDFuygpXfhEU4enciAgyOlRKz3zt4/K4uJtg9aXt82ETWM9Wx685xT3lVQw==" saltValue="CsrEgUFXoj4OYmXz2NywAA==" spinCount="100000" sheet="1" formatRows="0" selectLockedCells="1"/>
  <mergeCells count="5">
    <mergeCell ref="F3:I3"/>
    <mergeCell ref="F5:I5"/>
    <mergeCell ref="F6:I6"/>
    <mergeCell ref="A8:D8"/>
    <mergeCell ref="F4:I4"/>
  </mergeCells>
  <phoneticPr fontId="24" type="noConversion"/>
  <printOptions horizontalCentered="1"/>
  <pageMargins left="0.71" right="0.71" top="0.75000000000000011" bottom="0.75000000000000011" header="0.31" footer="0.31"/>
  <pageSetup paperSize="9" orientation="landscape" horizontalDpi="300" verticalDpi="300"/>
  <headerFooter>
    <oddHeader>&amp;L&amp;"Calibri,Bold"&amp;K000000EPA - Checklist for the European Standard Parking Award</oddHeader>
    <oddFooter>&amp;L&amp;K000000[File]&amp;A&amp;R&amp;K000000&amp;D - Page &amp;P/&amp;N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Answers!$B$20:$B$21</xm:f>
          </x14:formula1>
          <xm:sqref>E4:E6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D611E-58D5-604D-A98B-77C72538B341}">
  <sheetPr codeName="Sheet21"/>
  <dimension ref="A1:P456"/>
  <sheetViews>
    <sheetView zoomScale="150" zoomScaleNormal="150" workbookViewId="0">
      <pane xSplit="6" ySplit="4" topLeftCell="G263" activePane="bottomRight" state="frozen"/>
      <selection activeCell="N153" sqref="N153"/>
      <selection pane="topRight" activeCell="N153" sqref="N153"/>
      <selection pane="bottomLeft" activeCell="N153" sqref="N153"/>
      <selection pane="bottomRight" activeCell="K273" sqref="K273"/>
    </sheetView>
  </sheetViews>
  <sheetFormatPr baseColWidth="10" defaultColWidth="10.81640625" defaultRowHeight="14.5" x14ac:dyDescent="0.35"/>
  <cols>
    <col min="1" max="1" width="4.26953125" style="4" customWidth="1"/>
    <col min="2" max="2" width="23.453125" style="4" hidden="1" customWidth="1"/>
    <col min="3" max="3" width="19.81640625" style="4" hidden="1" customWidth="1"/>
    <col min="4" max="5" width="19.81640625" style="233" hidden="1" customWidth="1"/>
    <col min="6" max="6" width="63" style="4" customWidth="1"/>
    <col min="7" max="7" width="7.26953125" style="4" customWidth="1"/>
    <col min="8" max="15" width="36.26953125" style="4" customWidth="1"/>
    <col min="16" max="16384" width="10.81640625" style="4"/>
  </cols>
  <sheetData>
    <row r="1" spans="1:15" ht="26.5" thickBot="1" x14ac:dyDescent="0.4">
      <c r="A1" s="112">
        <f>'Languages Available'!B1</f>
        <v>4</v>
      </c>
      <c r="B1" s="126" t="s">
        <v>1317</v>
      </c>
      <c r="C1" s="127">
        <f>'Languages Available'!B1</f>
        <v>4</v>
      </c>
      <c r="E1" s="234"/>
      <c r="F1" s="285" t="str">
        <f>'General Info'!C4</f>
        <v>Deutsch</v>
      </c>
    </row>
    <row r="2" spans="1:15" x14ac:dyDescent="0.35">
      <c r="F2" s="4">
        <v>1</v>
      </c>
      <c r="H2" s="4">
        <v>1</v>
      </c>
      <c r="I2" s="4">
        <v>2</v>
      </c>
      <c r="J2" s="4">
        <v>3</v>
      </c>
      <c r="K2" s="4">
        <v>4</v>
      </c>
      <c r="L2" s="4">
        <v>5</v>
      </c>
      <c r="M2" s="4">
        <v>6</v>
      </c>
      <c r="N2" s="4">
        <v>7</v>
      </c>
      <c r="O2" s="4">
        <v>8</v>
      </c>
    </row>
    <row r="3" spans="1:15" ht="21" x14ac:dyDescent="0.35">
      <c r="B3" s="114" t="s">
        <v>1316</v>
      </c>
      <c r="C3" s="113"/>
      <c r="D3" s="235" t="s">
        <v>2676</v>
      </c>
      <c r="E3" s="235" t="s">
        <v>1747</v>
      </c>
      <c r="F3" s="125" t="str">
        <f>VLOOKUP(F2,'Languages Available'!$A$3:$B$23,2)</f>
        <v>English</v>
      </c>
      <c r="G3" s="125"/>
      <c r="H3" s="125" t="str">
        <f>VLOOKUP(H2,'Languages Available'!$A$3:$B$12,2,0)</f>
        <v>English</v>
      </c>
      <c r="I3" s="125" t="str">
        <f>VLOOKUP(I2,'Languages Available'!$A$3:$B$12,2,0)</f>
        <v>Dutch</v>
      </c>
      <c r="J3" s="125" t="str">
        <f>VLOOKUP(J2,'Languages Available'!$A$3:$B$12,2,0)</f>
        <v>Français</v>
      </c>
      <c r="K3" s="125" t="str">
        <f>VLOOKUP(K2,'Languages Available'!$A$3:$B$12,2,0)</f>
        <v>Deutsch</v>
      </c>
      <c r="L3" s="125" t="str">
        <f>VLOOKUP(L2,'Languages Available'!$A$3:$B$12,2,0)</f>
        <v>Portuguese</v>
      </c>
      <c r="M3" s="125" t="str">
        <f>VLOOKUP(M2,'Languages Available'!$A$3:$B$12,2,0)</f>
        <v>Turkish</v>
      </c>
      <c r="N3" s="125" t="str">
        <f>VLOOKUP(N2,'Languages Available'!$A$3:$B$12,2,0)</f>
        <v>Polish</v>
      </c>
      <c r="O3" s="125" t="str">
        <f>VLOOKUP(O2,'Languages Available'!$A$3:$B$12,2,0)</f>
        <v>Italian</v>
      </c>
    </row>
    <row r="4" spans="1:15" x14ac:dyDescent="0.35">
      <c r="A4" s="4">
        <f t="shared" ref="A4:A64" si="0">C4</f>
        <v>1</v>
      </c>
      <c r="B4" s="115" t="str">
        <f t="shared" ref="B4:B25" ca="1" si="1">IF(ISBLANK(VLOOKUP(A4,$C$4:$T$9877,1+$A$1)),F4,VLOOKUP(A4,$C$4:$T$9877,1+$A$1))</f>
        <v>Erforderliche Mindestkriterien</v>
      </c>
      <c r="C4" s="4">
        <v>1</v>
      </c>
      <c r="D4" s="233">
        <v>1</v>
      </c>
      <c r="E4" s="233" t="s">
        <v>2677</v>
      </c>
      <c r="F4" s="115" t="str">
        <f ca="1">OFFSET(G4,0,$C$1)</f>
        <v>Erforderliche Mindestkriterien</v>
      </c>
      <c r="G4" s="115"/>
      <c r="H4" s="115" t="s">
        <v>114</v>
      </c>
      <c r="I4" s="115" t="s">
        <v>557</v>
      </c>
      <c r="J4" s="115" t="s">
        <v>904</v>
      </c>
      <c r="K4" s="115" t="s">
        <v>3297</v>
      </c>
      <c r="L4" s="115" t="s">
        <v>2089</v>
      </c>
      <c r="M4" s="115" t="s">
        <v>3510</v>
      </c>
      <c r="N4" s="115" t="s">
        <v>4180</v>
      </c>
      <c r="O4" s="115" t="s">
        <v>4681</v>
      </c>
    </row>
    <row r="5" spans="1:15" ht="29" x14ac:dyDescent="0.35">
      <c r="A5" s="4">
        <f t="shared" si="0"/>
        <v>2</v>
      </c>
      <c r="B5" s="116" t="str">
        <f t="shared" ca="1" si="1"/>
        <v>Die Parkeinrichtung muss öffentlich sein.</v>
      </c>
      <c r="C5" s="4">
        <f>+C4+1</f>
        <v>2</v>
      </c>
      <c r="D5" s="233" t="s">
        <v>17</v>
      </c>
      <c r="E5" s="233" t="s">
        <v>2678</v>
      </c>
      <c r="F5" s="224" t="str">
        <f ca="1">OFFSET(G5,0,$C$1)</f>
        <v>Die Parkeinrichtung muss öffentlich sein.</v>
      </c>
      <c r="G5" s="116"/>
      <c r="H5" s="224" t="s">
        <v>2</v>
      </c>
      <c r="I5" s="222" t="s">
        <v>558</v>
      </c>
      <c r="J5" s="224" t="s">
        <v>911</v>
      </c>
      <c r="K5" s="224" t="s">
        <v>4022</v>
      </c>
      <c r="L5" s="224" t="s">
        <v>2090</v>
      </c>
      <c r="M5" s="224" t="s">
        <v>3511</v>
      </c>
      <c r="N5" s="224" t="s">
        <v>4181</v>
      </c>
      <c r="O5" s="224" t="s">
        <v>4682</v>
      </c>
    </row>
    <row r="6" spans="1:15" ht="58" x14ac:dyDescent="0.35">
      <c r="A6" s="4">
        <f t="shared" si="0"/>
        <v>3</v>
      </c>
      <c r="B6" s="116" t="str">
        <f t="shared" ca="1" si="1"/>
        <v>Mindestdurchfahrtshöhe = 1,90m im öffentlich zugänglichen Bereich. Einzelne niedrigere Stellen müssen deutlich gekennzeichnet sein.</v>
      </c>
      <c r="C6" s="4">
        <f t="shared" ref="C6:C69" si="2">+C5+1</f>
        <v>3</v>
      </c>
      <c r="D6" s="233" t="s">
        <v>18</v>
      </c>
      <c r="E6" s="233" t="s">
        <v>2678</v>
      </c>
      <c r="F6" s="222" t="str">
        <f t="shared" ref="F6:F70" ca="1" si="3">OFFSET(G6,0,$C$1)</f>
        <v>Mindestdurchfahrtshöhe = 1,90m im öffentlich zugänglichen Bereich. Einzelne niedrigere Stellen müssen deutlich gekennzeichnet sein.</v>
      </c>
      <c r="G6" s="116"/>
      <c r="H6" s="222" t="s">
        <v>84</v>
      </c>
      <c r="I6" s="222" t="s">
        <v>559</v>
      </c>
      <c r="J6" s="222" t="s">
        <v>3031</v>
      </c>
      <c r="K6" s="222" t="s">
        <v>4023</v>
      </c>
      <c r="L6" s="222" t="s">
        <v>2091</v>
      </c>
      <c r="M6" s="222" t="s">
        <v>3512</v>
      </c>
      <c r="N6" s="222" t="s">
        <v>4182</v>
      </c>
      <c r="O6" s="222" t="s">
        <v>4683</v>
      </c>
    </row>
    <row r="7" spans="1:15" ht="72.5" x14ac:dyDescent="0.35">
      <c r="A7" s="4">
        <f t="shared" si="0"/>
        <v>4</v>
      </c>
      <c r="B7" s="116" t="str">
        <f t="shared" ca="1" si="1"/>
        <v>Es muss mindestens eine getrennte Ein- und Ausfahrtsspur vorhanden sein. Zusätzliche, tageszeitlich in wechselnder Fahrtrichtung genutzte Wechselspuren sind zulässig.</v>
      </c>
      <c r="C7" s="4">
        <f t="shared" si="2"/>
        <v>4</v>
      </c>
      <c r="D7" s="233" t="s">
        <v>19</v>
      </c>
      <c r="E7" s="233" t="s">
        <v>2678</v>
      </c>
      <c r="F7" s="222" t="str">
        <f t="shared" ca="1" si="3"/>
        <v>Es muss mindestens eine getrennte Ein- und Ausfahrtsspur vorhanden sein. Zusätzliche, tageszeitlich in wechselnder Fahrtrichtung genutzte Wechselspuren sind zulässig.</v>
      </c>
      <c r="G7" s="116"/>
      <c r="H7" s="222" t="s">
        <v>118</v>
      </c>
      <c r="I7" s="222" t="s">
        <v>1728</v>
      </c>
      <c r="J7" s="222" t="s">
        <v>3032</v>
      </c>
      <c r="K7" s="222" t="s">
        <v>4024</v>
      </c>
      <c r="L7" s="222" t="s">
        <v>2093</v>
      </c>
      <c r="M7" s="222" t="s">
        <v>3513</v>
      </c>
      <c r="N7" s="222" t="s">
        <v>4183</v>
      </c>
      <c r="O7" s="222" t="s">
        <v>4684</v>
      </c>
    </row>
    <row r="8" spans="1:15" ht="101.5" x14ac:dyDescent="0.35">
      <c r="A8" s="4">
        <f t="shared" si="0"/>
        <v>5</v>
      </c>
      <c r="B8" s="116" t="str">
        <f t="shared" ca="1" si="1"/>
        <v>70% der Stellplätze müssen zumindest 2,30m breit sein. Für renovierte Betriebe, die über 10 Jahre alt sind, beträgt die Mindestbreite 2,25 m ( in diesem Fall kommt ein Punkteabzug zur Anwendung - siehe M8)</v>
      </c>
      <c r="C8" s="4">
        <f t="shared" si="2"/>
        <v>5</v>
      </c>
      <c r="D8" s="233" t="s">
        <v>20</v>
      </c>
      <c r="E8" s="233" t="s">
        <v>2678</v>
      </c>
      <c r="F8" s="222" t="str">
        <f t="shared" ca="1" si="3"/>
        <v>70% der Stellplätze müssen zumindest 2,30m breit sein. Für renovierte Betriebe, die über 10 Jahre alt sind, beträgt die Mindestbreite 2,25 m ( in diesem Fall kommt ein Punkteabzug zur Anwendung - siehe M8)</v>
      </c>
      <c r="G8" s="116"/>
      <c r="H8" s="222" t="s">
        <v>1771</v>
      </c>
      <c r="I8" s="222" t="s">
        <v>2928</v>
      </c>
      <c r="J8" s="222" t="s">
        <v>3033</v>
      </c>
      <c r="K8" s="222" t="s">
        <v>4025</v>
      </c>
      <c r="L8" s="222" t="s">
        <v>2094</v>
      </c>
      <c r="M8" s="222" t="s">
        <v>3514</v>
      </c>
      <c r="N8" s="222" t="s">
        <v>4184</v>
      </c>
      <c r="O8" s="222" t="s">
        <v>4685</v>
      </c>
    </row>
    <row r="9" spans="1:15" ht="101.5" x14ac:dyDescent="0.35">
      <c r="A9" s="4">
        <f t="shared" si="0"/>
        <v>6</v>
      </c>
      <c r="B9" s="116" t="str">
        <f t="shared" ca="1" si="1"/>
        <v>Alle geraden Rampen mit Einbahnverkehr müssen mindestens 2,70 m breit sein. Rampen mit Gegenverkehr müssen mindestens 6,00 m breit sein und eine Fahrbahnmarkierung aufweisen. Die Messung erfolgt zwischen den Wänden oder Säulen.</v>
      </c>
      <c r="C9" s="4">
        <f t="shared" si="2"/>
        <v>6</v>
      </c>
      <c r="D9" s="233" t="s">
        <v>21</v>
      </c>
      <c r="E9" s="233" t="s">
        <v>2678</v>
      </c>
      <c r="F9" s="222" t="str">
        <f t="shared" ca="1" si="3"/>
        <v>Alle geraden Rampen mit Einbahnverkehr müssen mindestens 2,70 m breit sein. Rampen mit Gegenverkehr müssen mindestens 6,00 m breit sein und eine Fahrbahnmarkierung aufweisen. Die Messung erfolgt zwischen den Wänden oder Säulen.</v>
      </c>
      <c r="G9" s="116"/>
      <c r="H9" s="222" t="s">
        <v>86</v>
      </c>
      <c r="I9" s="222" t="s">
        <v>1729</v>
      </c>
      <c r="J9" s="222" t="s">
        <v>3034</v>
      </c>
      <c r="K9" s="222" t="s">
        <v>4026</v>
      </c>
      <c r="L9" s="222" t="s">
        <v>2096</v>
      </c>
      <c r="M9" s="222" t="s">
        <v>3515</v>
      </c>
      <c r="N9" s="222" t="s">
        <v>4185</v>
      </c>
      <c r="O9" s="222" t="s">
        <v>4686</v>
      </c>
    </row>
    <row r="10" spans="1:15" ht="130.5" x14ac:dyDescent="0.35">
      <c r="A10" s="4">
        <f t="shared" si="0"/>
        <v>7</v>
      </c>
      <c r="B10" s="116" t="str">
        <f t="shared" ca="1" si="1"/>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c r="C10" s="4">
        <f t="shared" si="2"/>
        <v>7</v>
      </c>
      <c r="D10" s="233" t="s">
        <v>22</v>
      </c>
      <c r="E10" s="233" t="s">
        <v>2678</v>
      </c>
      <c r="F10" s="222" t="str">
        <f t="shared" ca="1" si="3"/>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c r="G10" s="116"/>
      <c r="H10" s="222" t="s">
        <v>87</v>
      </c>
      <c r="I10" s="222" t="s">
        <v>561</v>
      </c>
      <c r="J10" s="222" t="s">
        <v>4057</v>
      </c>
      <c r="K10" s="222" t="s">
        <v>4027</v>
      </c>
      <c r="L10" s="222" t="s">
        <v>2097</v>
      </c>
      <c r="M10" s="222" t="s">
        <v>3516</v>
      </c>
      <c r="N10" s="222" t="s">
        <v>4186</v>
      </c>
      <c r="O10" s="222" t="s">
        <v>4687</v>
      </c>
    </row>
    <row r="11" spans="1:15" ht="72.5" x14ac:dyDescent="0.35">
      <c r="A11" s="4">
        <f t="shared" si="0"/>
        <v>8</v>
      </c>
      <c r="B11" s="116" t="str">
        <f t="shared" ca="1" si="1"/>
        <v>Rampen dürfen eine Steigung von 20% nicht überschreiten. Die Messung erfolgt in der Mitte der Fahrspur. Bei gekrümmten Rampen mit Gegenverkehr gilt das für die innere (steilste) Spur.</v>
      </c>
      <c r="C11" s="4">
        <f t="shared" si="2"/>
        <v>8</v>
      </c>
      <c r="D11" s="233" t="s">
        <v>23</v>
      </c>
      <c r="E11" s="233" t="s">
        <v>2678</v>
      </c>
      <c r="F11" s="222" t="str">
        <f t="shared" ca="1" si="3"/>
        <v>Rampen dürfen eine Steigung von 20% nicht überschreiten. Die Messung erfolgt in der Mitte der Fahrspur. Bei gekrümmten Rampen mit Gegenverkehr gilt das für die innere (steilste) Spur.</v>
      </c>
      <c r="G11" s="116"/>
      <c r="H11" s="222" t="s">
        <v>117</v>
      </c>
      <c r="I11" s="222" t="s">
        <v>562</v>
      </c>
      <c r="J11" s="222" t="s">
        <v>3035</v>
      </c>
      <c r="K11" s="222" t="s">
        <v>4028</v>
      </c>
      <c r="L11" s="222" t="s">
        <v>2098</v>
      </c>
      <c r="M11" s="222" t="s">
        <v>3517</v>
      </c>
      <c r="N11" s="222" t="s">
        <v>4187</v>
      </c>
      <c r="O11" s="222" t="s">
        <v>4688</v>
      </c>
    </row>
    <row r="12" spans="1:15" ht="101.5" x14ac:dyDescent="0.35">
      <c r="A12" s="4">
        <f t="shared" si="0"/>
        <v>9</v>
      </c>
      <c r="B12" s="116" t="str">
        <f t="shared" ca="1" si="1"/>
        <v>Wenn der Parkbetrieb entgeltlich geführt wird und die Bewirtschaftung über Schrankensysteme oder Tore erfolgt, muss Personal an den Bezahl-, Ausfahrts- und Zugangspunkten erreichbar sein.</v>
      </c>
      <c r="C12" s="4">
        <f t="shared" si="2"/>
        <v>9</v>
      </c>
      <c r="D12" s="233" t="s">
        <v>24</v>
      </c>
      <c r="E12" s="233" t="s">
        <v>2678</v>
      </c>
      <c r="F12" s="222" t="str">
        <f t="shared" ca="1" si="3"/>
        <v>Wenn der Parkbetrieb entgeltlich geführt wird und die Bewirtschaftung über Schrankensysteme oder Tore erfolgt, muss Personal an den Bezahl-, Ausfahrts- und Zugangspunkten erreichbar sein.</v>
      </c>
      <c r="G12" s="116"/>
      <c r="H12" s="222" t="s">
        <v>85</v>
      </c>
      <c r="I12" s="222" t="s">
        <v>563</v>
      </c>
      <c r="J12" s="222" t="s">
        <v>3036</v>
      </c>
      <c r="K12" s="222" t="s">
        <v>4029</v>
      </c>
      <c r="L12" s="222" t="s">
        <v>2099</v>
      </c>
      <c r="M12" s="222" t="s">
        <v>3518</v>
      </c>
      <c r="N12" s="222" t="s">
        <v>4188</v>
      </c>
      <c r="O12" s="222" t="s">
        <v>4689</v>
      </c>
    </row>
    <row r="13" spans="1:15" ht="29" x14ac:dyDescent="0.35">
      <c r="A13" s="4">
        <f t="shared" si="0"/>
        <v>10</v>
      </c>
      <c r="B13" s="116" t="str">
        <f t="shared" ca="1" si="1"/>
        <v>Eine Quittung muss (zumindest) auf Kundenanforderung ausgegeben werden.</v>
      </c>
      <c r="C13" s="4">
        <f t="shared" si="2"/>
        <v>10</v>
      </c>
      <c r="D13" s="233" t="s">
        <v>25</v>
      </c>
      <c r="E13" s="233" t="s">
        <v>2678</v>
      </c>
      <c r="F13" s="222" t="str">
        <f t="shared" ca="1" si="3"/>
        <v>Eine Quittung muss (zumindest) auf Kundenanforderung ausgegeben werden.</v>
      </c>
      <c r="G13" s="116"/>
      <c r="H13" s="222" t="s">
        <v>88</v>
      </c>
      <c r="I13" s="222" t="s">
        <v>564</v>
      </c>
      <c r="J13" s="222" t="s">
        <v>919</v>
      </c>
      <c r="K13" s="222" t="s">
        <v>3298</v>
      </c>
      <c r="L13" s="222" t="s">
        <v>2100</v>
      </c>
      <c r="M13" s="222" t="s">
        <v>3519</v>
      </c>
      <c r="N13" s="222" t="s">
        <v>4189</v>
      </c>
      <c r="O13" s="222" t="s">
        <v>4690</v>
      </c>
    </row>
    <row r="14" spans="1:15" ht="87" x14ac:dyDescent="0.35">
      <c r="A14" s="4">
        <f t="shared" si="0"/>
        <v>11</v>
      </c>
      <c r="B14" s="116" t="str">
        <f t="shared" ca="1" si="1"/>
        <v>Alle Fahrmanöver müssen ohne Zurücksetzen des Fahrzeugs möglich sein. Ausnahmen sind Ein- und Ausparkmanöver oder Sackgassen.</v>
      </c>
      <c r="C14" s="4">
        <f t="shared" si="2"/>
        <v>11</v>
      </c>
      <c r="D14" s="233" t="s">
        <v>44</v>
      </c>
      <c r="E14" s="233" t="s">
        <v>2678</v>
      </c>
      <c r="F14" s="222" t="str">
        <f t="shared" ca="1" si="3"/>
        <v>Alle Fahrmanöver müssen ohne Zurücksetzen des Fahrzeugs möglich sein. Ausnahmen sind Ein- und Ausparkmanöver oder Sackgassen.</v>
      </c>
      <c r="G14" s="116"/>
      <c r="H14" s="222" t="s">
        <v>119</v>
      </c>
      <c r="I14" s="222" t="s">
        <v>565</v>
      </c>
      <c r="J14" s="222" t="s">
        <v>3037</v>
      </c>
      <c r="K14" s="222" t="s">
        <v>3299</v>
      </c>
      <c r="L14" s="222" t="s">
        <v>3446</v>
      </c>
      <c r="M14" s="222" t="s">
        <v>3520</v>
      </c>
      <c r="N14" s="222" t="s">
        <v>4190</v>
      </c>
      <c r="O14" s="222" t="s">
        <v>4691</v>
      </c>
    </row>
    <row r="15" spans="1:15" ht="43.5" x14ac:dyDescent="0.35">
      <c r="A15" s="4">
        <f t="shared" si="0"/>
        <v>12</v>
      </c>
      <c r="B15" s="116" t="str">
        <f t="shared" ca="1" si="1"/>
        <v>Die durchschnittliche Ausleuchtung der Parkfläche (am Boden gemessen) beträgt mind. 20 Lux.</v>
      </c>
      <c r="C15" s="4">
        <f t="shared" si="2"/>
        <v>12</v>
      </c>
      <c r="D15" s="233" t="s">
        <v>1767</v>
      </c>
      <c r="E15" s="233" t="s">
        <v>2678</v>
      </c>
      <c r="F15" s="223" t="str">
        <f t="shared" ca="1" si="3"/>
        <v>Die durchschnittliche Ausleuchtung der Parkfläche (am Boden gemessen) beträgt mind. 20 Lux.</v>
      </c>
      <c r="G15" s="116"/>
      <c r="H15" s="223" t="s">
        <v>1768</v>
      </c>
      <c r="I15" s="223" t="s">
        <v>2533</v>
      </c>
      <c r="J15" s="223" t="s">
        <v>3038</v>
      </c>
      <c r="K15" s="223" t="s">
        <v>4030</v>
      </c>
      <c r="L15" s="223" t="s">
        <v>2102</v>
      </c>
      <c r="M15" s="223" t="s">
        <v>3521</v>
      </c>
      <c r="N15" s="223" t="s">
        <v>4191</v>
      </c>
      <c r="O15" s="223" t="s">
        <v>4692</v>
      </c>
    </row>
    <row r="16" spans="1:15" x14ac:dyDescent="0.35">
      <c r="A16" s="4">
        <f t="shared" si="0"/>
        <v>13</v>
      </c>
      <c r="B16" s="116" t="str">
        <f t="shared" ca="1" si="1"/>
        <v>Beleuchtung</v>
      </c>
      <c r="C16" s="4">
        <f t="shared" si="2"/>
        <v>13</v>
      </c>
      <c r="D16" s="233">
        <v>2</v>
      </c>
      <c r="E16" s="233" t="s">
        <v>2677</v>
      </c>
      <c r="F16" s="221" t="str">
        <f t="shared" ca="1" si="3"/>
        <v>Beleuchtung</v>
      </c>
      <c r="G16" s="116"/>
      <c r="H16" s="221" t="s">
        <v>678</v>
      </c>
      <c r="I16" s="221" t="s">
        <v>566</v>
      </c>
      <c r="J16" s="221" t="s">
        <v>921</v>
      </c>
      <c r="K16" s="221" t="s">
        <v>1434</v>
      </c>
      <c r="L16" s="221" t="s">
        <v>2104</v>
      </c>
      <c r="M16" s="221" t="s">
        <v>3522</v>
      </c>
      <c r="N16" s="221" t="s">
        <v>4192</v>
      </c>
      <c r="O16" s="221" t="s">
        <v>4693</v>
      </c>
    </row>
    <row r="17" spans="1:15" ht="87" x14ac:dyDescent="0.35">
      <c r="A17" s="4">
        <f t="shared" si="0"/>
        <v>14</v>
      </c>
      <c r="B17" s="116" t="str">
        <f t="shared" ca="1" si="1"/>
        <v>Einfahrtsbereich; Messung am Boden
•  Über 200 Lux = 5;
•  Zwischen 75 - 200 Lux = 0,04 pt pro Lux über 75  
•  Unter 75 Lux = 0</v>
      </c>
      <c r="C17" s="4">
        <f t="shared" si="2"/>
        <v>14</v>
      </c>
      <c r="D17" s="233" t="s">
        <v>26</v>
      </c>
      <c r="E17" s="233" t="str">
        <f>E15</f>
        <v>Item</v>
      </c>
      <c r="F17" s="222" t="str">
        <f t="shared" ca="1" si="3"/>
        <v>Einfahrtsbereich; Messung am Boden
•  Über 200 Lux = 5;
•  Zwischen 75 - 200 Lux = 0,04 pt pro Lux über 75  
•  Unter 75 Lux = 0</v>
      </c>
      <c r="G17" s="116"/>
      <c r="H17" s="222" t="s">
        <v>271</v>
      </c>
      <c r="I17" s="222" t="s">
        <v>674</v>
      </c>
      <c r="J17" s="222" t="s">
        <v>3039</v>
      </c>
      <c r="K17" s="222" t="s">
        <v>4031</v>
      </c>
      <c r="L17" s="222" t="s">
        <v>2106</v>
      </c>
      <c r="M17" s="222" t="s">
        <v>3523</v>
      </c>
      <c r="N17" s="222" t="s">
        <v>4193</v>
      </c>
      <c r="O17" s="222" t="s">
        <v>4694</v>
      </c>
    </row>
    <row r="18" spans="1:15" ht="87" x14ac:dyDescent="0.35">
      <c r="A18" s="4">
        <f t="shared" si="0"/>
        <v>15</v>
      </c>
      <c r="B18" s="116" t="str">
        <f t="shared" ca="1" si="1"/>
        <v>Einfahrt; in 1 m Höhe neben dem Ticketgeber
•  Über 200 Lux = 3;
•  Zwischen 100 - 200 Lux = 0,03 pt pro Lux über 100
•  Unter 100 Lux = 0</v>
      </c>
      <c r="C18" s="4">
        <f t="shared" si="2"/>
        <v>15</v>
      </c>
      <c r="D18" s="233" t="s">
        <v>27</v>
      </c>
      <c r="E18" s="233" t="str">
        <f>E17</f>
        <v>Item</v>
      </c>
      <c r="F18" s="222" t="str">
        <f t="shared" ca="1" si="3"/>
        <v>Einfahrt; in 1 m Höhe neben dem Ticketgeber
•  Über 200 Lux = 3;
•  Zwischen 100 - 200 Lux = 0,03 pt pro Lux über 100
•  Unter 100 Lux = 0</v>
      </c>
      <c r="G18" s="116"/>
      <c r="H18" s="222" t="s">
        <v>272</v>
      </c>
      <c r="I18" s="222" t="s">
        <v>675</v>
      </c>
      <c r="J18" s="222" t="s">
        <v>3040</v>
      </c>
      <c r="K18" s="222" t="s">
        <v>4032</v>
      </c>
      <c r="L18" s="222" t="s">
        <v>2107</v>
      </c>
      <c r="M18" s="222" t="s">
        <v>3524</v>
      </c>
      <c r="N18" s="222" t="s">
        <v>4194</v>
      </c>
      <c r="O18" s="222" t="s">
        <v>4695</v>
      </c>
    </row>
    <row r="19" spans="1:15" ht="87" x14ac:dyDescent="0.35">
      <c r="A19" s="4">
        <f t="shared" si="0"/>
        <v>16</v>
      </c>
      <c r="B19" s="116" t="str">
        <f t="shared" ca="1" si="1"/>
        <v>Ausfahrt; in 1 m Höhe neben der Ausfahrtssäule
•  Über 200 Lux = 3;
•  Zwischen 100 - 200 Lux = 0,03 pt pro Lux über 100
•  Unter 100 Lux = 0</v>
      </c>
      <c r="C19" s="4">
        <f t="shared" si="2"/>
        <v>16</v>
      </c>
      <c r="D19" s="233" t="s">
        <v>28</v>
      </c>
      <c r="E19" s="233" t="str">
        <f t="shared" ref="E19:E25" si="4">E18</f>
        <v>Item</v>
      </c>
      <c r="F19" s="222" t="str">
        <f t="shared" ca="1" si="3"/>
        <v>Ausfahrt; in 1 m Höhe neben der Ausfahrtssäule
•  Über 200 Lux = 3;
•  Zwischen 100 - 200 Lux = 0,03 pt pro Lux über 100
•  Unter 100 Lux = 0</v>
      </c>
      <c r="G19" s="116"/>
      <c r="H19" s="222" t="s">
        <v>273</v>
      </c>
      <c r="I19" s="222" t="s">
        <v>676</v>
      </c>
      <c r="J19" s="222" t="s">
        <v>3041</v>
      </c>
      <c r="K19" s="222" t="s">
        <v>4033</v>
      </c>
      <c r="L19" s="222" t="s">
        <v>2108</v>
      </c>
      <c r="M19" s="222" t="s">
        <v>3525</v>
      </c>
      <c r="N19" s="222" t="s">
        <v>4195</v>
      </c>
      <c r="O19" s="222" t="s">
        <v>4696</v>
      </c>
    </row>
    <row r="20" spans="1:15" ht="130.5" x14ac:dyDescent="0.35">
      <c r="A20" s="4">
        <f t="shared" si="0"/>
        <v>17</v>
      </c>
      <c r="B20" s="116" t="str">
        <f t="shared" ca="1" si="1"/>
        <v>Am Bezahlautomaten; in 1 m Höhe
•  Über 200 Lux = 4;
•  Zwischen 100 - 200 Lux = 0,04 pt pro Lux über 100
•  Unter 100 Lux = 0;
•  Kein Bezahlautomat = wie Ausfahrt (in diesem Fall "0" eingeben)</v>
      </c>
      <c r="C20" s="4">
        <f t="shared" si="2"/>
        <v>17</v>
      </c>
      <c r="D20" s="233" t="s">
        <v>29</v>
      </c>
      <c r="E20" s="233" t="str">
        <f t="shared" si="4"/>
        <v>Item</v>
      </c>
      <c r="F20" s="222" t="str">
        <f t="shared" ca="1" si="3"/>
        <v>Am Bezahlautomaten; in 1 m Höhe
•  Über 200 Lux = 4;
•  Zwischen 100 - 200 Lux = 0,04 pt pro Lux über 100
•  Unter 100 Lux = 0;
•  Kein Bezahlautomat = wie Ausfahrt (in diesem Fall "0" eingeben)</v>
      </c>
      <c r="G20" s="116"/>
      <c r="H20" s="222" t="s">
        <v>1773</v>
      </c>
      <c r="I20" s="222" t="s">
        <v>2539</v>
      </c>
      <c r="J20" s="222" t="s">
        <v>3042</v>
      </c>
      <c r="K20" s="222" t="s">
        <v>4034</v>
      </c>
      <c r="L20" s="222" t="s">
        <v>2109</v>
      </c>
      <c r="M20" s="222" t="s">
        <v>3526</v>
      </c>
      <c r="N20" s="222" t="s">
        <v>4196</v>
      </c>
      <c r="O20" s="222" t="s">
        <v>4697</v>
      </c>
    </row>
    <row r="21" spans="1:15" ht="116" x14ac:dyDescent="0.35">
      <c r="A21" s="4">
        <f t="shared" si="0"/>
        <v>18</v>
      </c>
      <c r="B21" s="116" t="str">
        <f t="shared" ca="1" si="1"/>
        <v>An der Kasse; in Höhe des Kundenschalters
•  Über 200 Lux = 4;
•  Zwischen 100 - 200 Lux = 0,04 pt pro Lux über 100
•  Unter 100 Lux = 0;
•  Keine Kassenstation = 3  (in diesem Fall "0" eingeben)</v>
      </c>
      <c r="C21" s="4">
        <f t="shared" si="2"/>
        <v>18</v>
      </c>
      <c r="D21" s="233" t="s">
        <v>30</v>
      </c>
      <c r="E21" s="233" t="str">
        <f t="shared" si="4"/>
        <v>Item</v>
      </c>
      <c r="F21" s="222" t="str">
        <f t="shared" ca="1" si="3"/>
        <v>An der Kasse; in Höhe des Kundenschalters
•  Über 200 Lux = 4;
•  Zwischen 100 - 200 Lux = 0,04 pt pro Lux über 100
•  Unter 100 Lux = 0;
•  Keine Kassenstation = 3  (in diesem Fall "0" eingeben)</v>
      </c>
      <c r="G21" s="116"/>
      <c r="H21" s="222" t="s">
        <v>1774</v>
      </c>
      <c r="I21" s="222" t="s">
        <v>2929</v>
      </c>
      <c r="J21" s="222" t="s">
        <v>3043</v>
      </c>
      <c r="K21" s="222" t="s">
        <v>4035</v>
      </c>
      <c r="L21" s="222" t="s">
        <v>2110</v>
      </c>
      <c r="M21" s="222" t="s">
        <v>3527</v>
      </c>
      <c r="N21" s="222" t="s">
        <v>4197</v>
      </c>
      <c r="O21" s="222" t="s">
        <v>4698</v>
      </c>
    </row>
    <row r="22" spans="1:15" ht="101.5" x14ac:dyDescent="0.35">
      <c r="A22" s="4">
        <f t="shared" si="0"/>
        <v>19</v>
      </c>
      <c r="B22" s="116" t="str">
        <f t="shared" ca="1" si="1"/>
        <v>Im Aufzug; gesmessen am Boden
•  Über 70 Lux = 4;
•  Zwischen 30 - 70 Lux = 0,1 pt pro Lux über 30
•  Unter 30 Lux = 0;
•  Nur eine Parkebene ohne Aufzug = 3 (in diesem Fall "0" eingeben)</v>
      </c>
      <c r="C22" s="4">
        <f t="shared" si="2"/>
        <v>19</v>
      </c>
      <c r="D22" s="233" t="s">
        <v>31</v>
      </c>
      <c r="E22" s="233" t="str">
        <f t="shared" si="4"/>
        <v>Item</v>
      </c>
      <c r="F22" s="222" t="str">
        <f t="shared" ca="1" si="3"/>
        <v>Im Aufzug; gesmessen am Boden
•  Über 70 Lux = 4;
•  Zwischen 30 - 70 Lux = 0,1 pt pro Lux über 30
•  Unter 30 Lux = 0;
•  Nur eine Parkebene ohne Aufzug = 3 (in diesem Fall "0" eingeben)</v>
      </c>
      <c r="G22" s="116"/>
      <c r="H22" s="222" t="s">
        <v>1790</v>
      </c>
      <c r="I22" s="222" t="s">
        <v>2540</v>
      </c>
      <c r="J22" s="222" t="s">
        <v>3044</v>
      </c>
      <c r="K22" s="222" t="s">
        <v>4036</v>
      </c>
      <c r="L22" s="222" t="s">
        <v>2111</v>
      </c>
      <c r="M22" s="222" t="s">
        <v>3528</v>
      </c>
      <c r="N22" s="222" t="s">
        <v>4198</v>
      </c>
      <c r="O22" s="222" t="s">
        <v>4699</v>
      </c>
    </row>
    <row r="23" spans="1:15" ht="101.5" x14ac:dyDescent="0.35">
      <c r="A23" s="4">
        <f t="shared" si="0"/>
        <v>20</v>
      </c>
      <c r="B23" s="116" t="str">
        <f t="shared" ca="1" si="1"/>
        <v>In Treppenhäusern und allen Fußgängerbereichen; gemessen am Boden
•  Über 90 Lux = 3;
•  Zwischen 30 - 90 Lux = 0,05 pt pro Lux über 30
•  Unter 30 Lux = 0;</v>
      </c>
      <c r="C23" s="4">
        <f t="shared" si="2"/>
        <v>20</v>
      </c>
      <c r="D23" s="233" t="s">
        <v>32</v>
      </c>
      <c r="E23" s="233" t="str">
        <f t="shared" si="4"/>
        <v>Item</v>
      </c>
      <c r="F23" s="222" t="str">
        <f t="shared" ca="1" si="3"/>
        <v>In Treppenhäusern und allen Fußgängerbereichen; gemessen am Boden
•  Über 90 Lux = 3;
•  Zwischen 30 - 90 Lux = 0,05 pt pro Lux über 30
•  Unter 30 Lux = 0;</v>
      </c>
      <c r="G23" s="116"/>
      <c r="H23" s="222" t="s">
        <v>275</v>
      </c>
      <c r="I23" s="222" t="s">
        <v>1286</v>
      </c>
      <c r="J23" s="222" t="s">
        <v>3045</v>
      </c>
      <c r="K23" s="222" t="s">
        <v>4037</v>
      </c>
      <c r="L23" s="222" t="s">
        <v>2112</v>
      </c>
      <c r="M23" s="222" t="s">
        <v>3529</v>
      </c>
      <c r="N23" s="222" t="s">
        <v>4199</v>
      </c>
      <c r="O23" s="222" t="s">
        <v>4700</v>
      </c>
    </row>
    <row r="24" spans="1:15" ht="130.5" x14ac:dyDescent="0.35">
      <c r="A24" s="4">
        <f t="shared" si="0"/>
        <v>21</v>
      </c>
      <c r="B24" s="116" t="str">
        <f t="shared" ca="1" si="1"/>
        <v>Ausleuchtung der Parkfläche; gemessen am Boden: (Bitte die Tabelle ausfüllen) 
Durchschnittliche Ausleuchtung des Bereichs:
•  Über 100 Lux= 10;
•  Zwischen 20– 100 Lux: 0,125 pt pro Lux über 20 
•  Unter 20 Lux= 0</v>
      </c>
      <c r="C24" s="4">
        <f t="shared" si="2"/>
        <v>21</v>
      </c>
      <c r="D24" s="233" t="s">
        <v>33</v>
      </c>
      <c r="E24" s="233" t="str">
        <f t="shared" si="4"/>
        <v>Item</v>
      </c>
      <c r="F24" s="222" t="str">
        <f t="shared" ca="1" si="3"/>
        <v>Ausleuchtung der Parkfläche; gemessen am Boden: (Bitte die Tabelle ausfüllen) 
Durchschnittliche Ausleuchtung des Bereichs:
•  Über 100 Lux= 10;
•  Zwischen 20– 100 Lux: 0,125 pt pro Lux über 20 
•  Unter 20 Lux= 0</v>
      </c>
      <c r="G24" s="116"/>
      <c r="H24" s="222" t="s">
        <v>540</v>
      </c>
      <c r="I24" s="222" t="s">
        <v>2930</v>
      </c>
      <c r="J24" s="222" t="s">
        <v>3046</v>
      </c>
      <c r="K24" s="222" t="s">
        <v>4038</v>
      </c>
      <c r="L24" s="222" t="s">
        <v>2113</v>
      </c>
      <c r="M24" s="222" t="s">
        <v>3530</v>
      </c>
      <c r="N24" s="222" t="s">
        <v>4200</v>
      </c>
      <c r="O24" s="222" t="s">
        <v>4701</v>
      </c>
    </row>
    <row r="25" spans="1:15" ht="116" x14ac:dyDescent="0.35">
      <c r="A25" s="4">
        <f t="shared" si="0"/>
        <v>22</v>
      </c>
      <c r="B25" s="116" t="str">
        <f t="shared" ca="1" si="1"/>
        <v>Gleichmäßigkeit der Ausleuchtung (Standardabweichung)
•  Unter 25% vom Durchschnitt = 10;
•  Zwischen 25 - 50% = 0,4 pt pro % unter 50%
•  Über 50% =  0</v>
      </c>
      <c r="C25" s="4">
        <f t="shared" si="2"/>
        <v>22</v>
      </c>
      <c r="D25" s="233" t="s">
        <v>2596</v>
      </c>
      <c r="E25" s="233" t="str">
        <f t="shared" si="4"/>
        <v>Item</v>
      </c>
      <c r="F25" s="222" t="str">
        <f t="shared" ca="1" si="3"/>
        <v>Gleichmäßigkeit der Ausleuchtung (Standardabweichung)
•  Unter 25% vom Durchschnitt = 10;
•  Zwischen 25 - 50% = 0,4 pt pro % unter 50%
•  Über 50% =  0</v>
      </c>
      <c r="G25" s="116"/>
      <c r="H25" s="222" t="s">
        <v>679</v>
      </c>
      <c r="I25" s="222" t="s">
        <v>2931</v>
      </c>
      <c r="J25" s="222" t="s">
        <v>3047</v>
      </c>
      <c r="K25" s="222" t="s">
        <v>4039</v>
      </c>
      <c r="L25" s="222" t="s">
        <v>2114</v>
      </c>
      <c r="M25" s="222" t="s">
        <v>3531</v>
      </c>
      <c r="N25" s="222" t="s">
        <v>4201</v>
      </c>
      <c r="O25" s="222" t="s">
        <v>4702</v>
      </c>
    </row>
    <row r="26" spans="1:15" ht="29" x14ac:dyDescent="0.35">
      <c r="B26" s="116"/>
      <c r="C26" s="4">
        <f t="shared" si="2"/>
        <v>23</v>
      </c>
      <c r="D26" s="233" t="s">
        <v>2684</v>
      </c>
      <c r="F26" s="222" t="str">
        <f t="shared" ca="1" si="3"/>
        <v>Hilfsbereich für 2.8</v>
      </c>
      <c r="G26" s="116"/>
      <c r="H26" s="222" t="s">
        <v>122</v>
      </c>
      <c r="I26" s="222" t="s">
        <v>568</v>
      </c>
      <c r="J26" s="222" t="s">
        <v>932</v>
      </c>
      <c r="K26" s="222" t="s">
        <v>3300</v>
      </c>
      <c r="L26" s="222" t="s">
        <v>2115</v>
      </c>
      <c r="M26" s="222" t="s">
        <v>3532</v>
      </c>
      <c r="N26" s="222" t="s">
        <v>4202</v>
      </c>
      <c r="O26" s="222" t="s">
        <v>4703</v>
      </c>
    </row>
    <row r="27" spans="1:15" ht="29" x14ac:dyDescent="0.35">
      <c r="A27" s="4">
        <f t="shared" si="0"/>
        <v>24</v>
      </c>
      <c r="B27" s="116" t="str">
        <f t="shared" ref="B27:B32" ca="1" si="5">IF(ISBLANK(VLOOKUP(A27,$C$4:$T$9877,1+$A$1)),F27,VLOOKUP(A27,$C$4:$T$9877,1+$A$1))</f>
        <v>Ende des Stellplatzes unter / zwischen Leuchtmittel</v>
      </c>
      <c r="C27" s="4">
        <f t="shared" si="2"/>
        <v>24</v>
      </c>
      <c r="D27" s="233" t="s">
        <v>2679</v>
      </c>
      <c r="F27" s="222" t="str">
        <f t="shared" ca="1" si="3"/>
        <v>Ende des Stellplatzes unter / zwischen Leuchtmittel</v>
      </c>
      <c r="G27" s="116"/>
      <c r="H27" s="222" t="s">
        <v>2562</v>
      </c>
      <c r="I27" s="222" t="s">
        <v>569</v>
      </c>
      <c r="J27" s="222" t="s">
        <v>3048</v>
      </c>
      <c r="K27" s="222" t="s">
        <v>3301</v>
      </c>
      <c r="L27" s="222" t="s">
        <v>2116</v>
      </c>
      <c r="M27" s="222" t="s">
        <v>3533</v>
      </c>
      <c r="N27" s="222" t="s">
        <v>4203</v>
      </c>
      <c r="O27" s="222" t="s">
        <v>4704</v>
      </c>
    </row>
    <row r="28" spans="1:15" ht="29" x14ac:dyDescent="0.35">
      <c r="A28" s="4">
        <f t="shared" si="0"/>
        <v>25</v>
      </c>
      <c r="B28" s="116" t="str">
        <f t="shared" ca="1" si="5"/>
        <v>Mitte des Stellplatzes unter / zwischen Leuchtmittel</v>
      </c>
      <c r="C28" s="4">
        <f t="shared" si="2"/>
        <v>25</v>
      </c>
      <c r="D28" s="233" t="s">
        <v>2680</v>
      </c>
      <c r="F28" s="222" t="str">
        <f t="shared" ca="1" si="3"/>
        <v>Mitte des Stellplatzes unter / zwischen Leuchtmittel</v>
      </c>
      <c r="G28" s="116"/>
      <c r="H28" s="222" t="s">
        <v>2563</v>
      </c>
      <c r="I28" s="222" t="s">
        <v>570</v>
      </c>
      <c r="J28" s="222" t="s">
        <v>3049</v>
      </c>
      <c r="K28" s="222" t="s">
        <v>3302</v>
      </c>
      <c r="L28" s="222" t="s">
        <v>2117</v>
      </c>
      <c r="M28" s="222" t="s">
        <v>3534</v>
      </c>
      <c r="N28" s="222" t="s">
        <v>4204</v>
      </c>
      <c r="O28" s="222" t="s">
        <v>4705</v>
      </c>
    </row>
    <row r="29" spans="1:15" ht="43.5" x14ac:dyDescent="0.35">
      <c r="A29" s="4">
        <f t="shared" si="0"/>
        <v>26</v>
      </c>
      <c r="B29" s="116" t="str">
        <f t="shared" ca="1" si="5"/>
        <v>Fahrbahnrand unter / zwischen Leuchtmittel</v>
      </c>
      <c r="C29" s="4">
        <f t="shared" si="2"/>
        <v>26</v>
      </c>
      <c r="D29" s="233" t="s">
        <v>2681</v>
      </c>
      <c r="F29" s="222" t="str">
        <f t="shared" ca="1" si="3"/>
        <v>Fahrbahnrand unter / zwischen Leuchtmittel</v>
      </c>
      <c r="G29" s="116"/>
      <c r="H29" s="222" t="s">
        <v>2564</v>
      </c>
      <c r="I29" s="222" t="s">
        <v>571</v>
      </c>
      <c r="J29" s="222" t="s">
        <v>3050</v>
      </c>
      <c r="K29" s="222" t="s">
        <v>4040</v>
      </c>
      <c r="L29" s="222" t="s">
        <v>2118</v>
      </c>
      <c r="M29" s="222" t="s">
        <v>3535</v>
      </c>
      <c r="N29" s="222" t="s">
        <v>4205</v>
      </c>
      <c r="O29" s="222" t="s">
        <v>4706</v>
      </c>
    </row>
    <row r="30" spans="1:15" ht="29" x14ac:dyDescent="0.35">
      <c r="A30" s="4">
        <f t="shared" si="0"/>
        <v>27</v>
      </c>
      <c r="B30" s="116" t="str">
        <f t="shared" ca="1" si="5"/>
        <v>Fahrbahnmitte unter / zwischen Leuchtmittel</v>
      </c>
      <c r="C30" s="4">
        <f t="shared" si="2"/>
        <v>27</v>
      </c>
      <c r="D30" s="233" t="s">
        <v>2682</v>
      </c>
      <c r="F30" s="222" t="str">
        <f t="shared" ca="1" si="3"/>
        <v>Fahrbahnmitte unter / zwischen Leuchtmittel</v>
      </c>
      <c r="G30" s="116"/>
      <c r="H30" s="222" t="s">
        <v>2565</v>
      </c>
      <c r="I30" s="222" t="s">
        <v>572</v>
      </c>
      <c r="J30" s="222" t="s">
        <v>3051</v>
      </c>
      <c r="K30" s="222" t="s">
        <v>3303</v>
      </c>
      <c r="L30" s="222" t="s">
        <v>2119</v>
      </c>
      <c r="M30" s="222" t="s">
        <v>3536</v>
      </c>
      <c r="N30" s="222" t="s">
        <v>4206</v>
      </c>
      <c r="O30" s="222" t="s">
        <v>4707</v>
      </c>
    </row>
    <row r="31" spans="1:15" ht="58" x14ac:dyDescent="0.35">
      <c r="A31" s="4">
        <f t="shared" si="0"/>
        <v>28</v>
      </c>
      <c r="B31" s="116" t="str">
        <f t="shared" ca="1" si="5"/>
        <v>Gegenüberliegender Fahrbahnrand unter / zwischen Leuchtmittel</v>
      </c>
      <c r="C31" s="4">
        <f t="shared" si="2"/>
        <v>28</v>
      </c>
      <c r="D31" s="233" t="s">
        <v>2683</v>
      </c>
      <c r="F31" s="223" t="str">
        <f t="shared" ca="1" si="3"/>
        <v>Gegenüberliegender Fahrbahnrand unter / zwischen Leuchtmittel</v>
      </c>
      <c r="G31" s="116"/>
      <c r="H31" s="223" t="s">
        <v>2566</v>
      </c>
      <c r="I31" s="223" t="s">
        <v>2932</v>
      </c>
      <c r="J31" s="223" t="s">
        <v>3052</v>
      </c>
      <c r="K31" s="223" t="s">
        <v>4041</v>
      </c>
      <c r="L31" s="223" t="s">
        <v>2120</v>
      </c>
      <c r="M31" s="223" t="s">
        <v>3537</v>
      </c>
      <c r="N31" s="223" t="s">
        <v>4207</v>
      </c>
      <c r="O31" s="223" t="s">
        <v>4708</v>
      </c>
    </row>
    <row r="32" spans="1:15" x14ac:dyDescent="0.35">
      <c r="A32" s="4">
        <f t="shared" si="0"/>
        <v>29</v>
      </c>
      <c r="B32" s="116" t="str">
        <f t="shared" ca="1" si="5"/>
        <v>Einfahrt / Ausfahrt</v>
      </c>
      <c r="C32" s="4">
        <f t="shared" si="2"/>
        <v>29</v>
      </c>
      <c r="D32" s="233">
        <v>3</v>
      </c>
      <c r="F32" s="220" t="str">
        <f t="shared" ca="1" si="3"/>
        <v>Einfahrt / Ausfahrt</v>
      </c>
      <c r="G32" s="116"/>
      <c r="H32" s="220" t="s">
        <v>128</v>
      </c>
      <c r="I32" s="220" t="s">
        <v>574</v>
      </c>
      <c r="J32" s="220" t="s">
        <v>3053</v>
      </c>
      <c r="K32" s="220" t="s">
        <v>1442</v>
      </c>
      <c r="L32" s="220" t="s">
        <v>2325</v>
      </c>
      <c r="M32" s="220" t="s">
        <v>3538</v>
      </c>
      <c r="N32" s="220" t="s">
        <v>4208</v>
      </c>
      <c r="O32" s="220" t="s">
        <v>4709</v>
      </c>
    </row>
    <row r="33" spans="1:15" hidden="1" x14ac:dyDescent="0.35">
      <c r="B33" s="116"/>
      <c r="C33" s="4">
        <f t="shared" si="2"/>
        <v>30</v>
      </c>
      <c r="D33" s="233" t="s">
        <v>2685</v>
      </c>
      <c r="F33" s="221" t="str">
        <f t="shared" ca="1" si="3"/>
        <v>Inhalt</v>
      </c>
      <c r="G33" s="116"/>
      <c r="H33" s="221" t="s">
        <v>276</v>
      </c>
      <c r="I33" s="221" t="s">
        <v>614</v>
      </c>
      <c r="J33" s="221" t="s">
        <v>3054</v>
      </c>
      <c r="K33" s="221" t="s">
        <v>3304</v>
      </c>
      <c r="L33" s="221" t="s">
        <v>3447</v>
      </c>
      <c r="M33" s="221" t="s">
        <v>3539</v>
      </c>
      <c r="N33" s="221" t="s">
        <v>4209</v>
      </c>
      <c r="O33" s="221" t="s">
        <v>4710</v>
      </c>
    </row>
    <row r="34" spans="1:15" ht="43.5" x14ac:dyDescent="0.35">
      <c r="A34" s="4">
        <f t="shared" si="0"/>
        <v>31</v>
      </c>
      <c r="B34" s="116" t="str">
        <f t="shared" ref="B34:B64" ca="1" si="6">IF(ISBLANK(VLOOKUP(A34,$C$4:$T$9877,1+$A$1)),F34,VLOOKUP(A34,$C$4:$T$9877,1+$A$1))</f>
        <v>Max. Durchfahrtshöhe ist an der Einfahrt angegeben (ja=1, nein=0)</v>
      </c>
      <c r="C34" s="4">
        <f t="shared" si="2"/>
        <v>31</v>
      </c>
      <c r="D34" s="233" t="s">
        <v>2597</v>
      </c>
      <c r="F34" s="222" t="str">
        <f t="shared" ca="1" si="3"/>
        <v>Max. Durchfahrtshöhe ist an der Einfahrt angegeben (ja=1, nein=0)</v>
      </c>
      <c r="G34" s="116"/>
      <c r="H34" s="222" t="s">
        <v>2825</v>
      </c>
      <c r="I34" s="222" t="s">
        <v>2933</v>
      </c>
      <c r="J34" s="222" t="s">
        <v>3055</v>
      </c>
      <c r="K34" s="222" t="s">
        <v>3305</v>
      </c>
      <c r="L34" s="222" t="s">
        <v>3448</v>
      </c>
      <c r="M34" s="222" t="s">
        <v>3540</v>
      </c>
      <c r="N34" s="222" t="s">
        <v>4210</v>
      </c>
      <c r="O34" s="222" t="s">
        <v>4711</v>
      </c>
    </row>
    <row r="35" spans="1:15" ht="29" x14ac:dyDescent="0.35">
      <c r="A35" s="4">
        <f t="shared" si="0"/>
        <v>32</v>
      </c>
      <c r="B35" s="116" t="str">
        <f t="shared" ca="1" si="6"/>
        <v>Korrekte Einfahrtsbeschilderung (ja=1, nein=0)</v>
      </c>
      <c r="C35" s="4">
        <f t="shared" si="2"/>
        <v>32</v>
      </c>
      <c r="D35" s="233" t="s">
        <v>2598</v>
      </c>
      <c r="F35" s="222" t="str">
        <f t="shared" ca="1" si="3"/>
        <v>Korrekte Einfahrtsbeschilderung (ja=1, nein=0)</v>
      </c>
      <c r="G35" s="116"/>
      <c r="H35" s="222" t="s">
        <v>2826</v>
      </c>
      <c r="I35" s="222" t="s">
        <v>2934</v>
      </c>
      <c r="J35" s="222" t="s">
        <v>3056</v>
      </c>
      <c r="K35" s="222" t="s">
        <v>3306</v>
      </c>
      <c r="L35" s="222" t="s">
        <v>3449</v>
      </c>
      <c r="M35" s="222" t="s">
        <v>3541</v>
      </c>
      <c r="N35" s="222" t="s">
        <v>4211</v>
      </c>
      <c r="O35" s="222" t="s">
        <v>4712</v>
      </c>
    </row>
    <row r="36" spans="1:15" x14ac:dyDescent="0.35">
      <c r="A36" s="4">
        <f t="shared" si="0"/>
        <v>33</v>
      </c>
      <c r="B36" s="116" t="str">
        <f t="shared" ca="1" si="6"/>
        <v>Höhenkontrollbalken (ja = 1; nein = 0)</v>
      </c>
      <c r="C36" s="4">
        <f t="shared" si="2"/>
        <v>33</v>
      </c>
      <c r="D36" s="233" t="s">
        <v>2599</v>
      </c>
      <c r="F36" s="222" t="str">
        <f t="shared" ca="1" si="3"/>
        <v>Höhenkontrollbalken (ja = 1; nein = 0)</v>
      </c>
      <c r="G36" s="116"/>
      <c r="H36" s="222" t="s">
        <v>2827</v>
      </c>
      <c r="I36" s="222" t="s">
        <v>2935</v>
      </c>
      <c r="J36" s="222" t="s">
        <v>3057</v>
      </c>
      <c r="K36" s="222" t="s">
        <v>5181</v>
      </c>
      <c r="L36" s="222" t="s">
        <v>3450</v>
      </c>
      <c r="M36" s="222" t="s">
        <v>3542</v>
      </c>
      <c r="N36" s="222" t="s">
        <v>4212</v>
      </c>
      <c r="O36" s="222" t="s">
        <v>4713</v>
      </c>
    </row>
    <row r="37" spans="1:15" ht="43.5" x14ac:dyDescent="0.35">
      <c r="A37" s="4">
        <f t="shared" si="0"/>
        <v>34</v>
      </c>
      <c r="B37" s="116" t="str">
        <f t="shared" ca="1" si="6"/>
        <v>Gummilippe , um Schaden zu verhindern (ja=1, nein=0)</v>
      </c>
      <c r="C37" s="4">
        <f t="shared" si="2"/>
        <v>34</v>
      </c>
      <c r="D37" s="233" t="s">
        <v>2600</v>
      </c>
      <c r="F37" s="222" t="str">
        <f t="shared" ca="1" si="3"/>
        <v>Gummilippe , um Schaden zu verhindern (ja=1, nein=0)</v>
      </c>
      <c r="G37" s="116"/>
      <c r="H37" s="222" t="s">
        <v>2828</v>
      </c>
      <c r="I37" s="222" t="s">
        <v>2936</v>
      </c>
      <c r="J37" s="222" t="s">
        <v>3058</v>
      </c>
      <c r="K37" s="222" t="s">
        <v>3307</v>
      </c>
      <c r="L37" s="222" t="s">
        <v>3451</v>
      </c>
      <c r="M37" s="222" t="s">
        <v>3543</v>
      </c>
      <c r="N37" s="222" t="s">
        <v>4213</v>
      </c>
      <c r="O37" s="222" t="s">
        <v>4714</v>
      </c>
    </row>
    <row r="38" spans="1:15" ht="58" x14ac:dyDescent="0.35">
      <c r="A38" s="4">
        <f t="shared" si="0"/>
        <v>35</v>
      </c>
      <c r="B38" s="116" t="str">
        <f t="shared" ca="1" si="6"/>
        <v>Durchfahrtshöhe:
(ein zusätzlicher Punkt je 10 cm über 1,90 m bis 2,20 m)</v>
      </c>
      <c r="C38" s="4">
        <f t="shared" si="2"/>
        <v>35</v>
      </c>
      <c r="D38" s="233" t="s">
        <v>35</v>
      </c>
      <c r="F38" s="222" t="str">
        <f t="shared" ca="1" si="3"/>
        <v>Durchfahrtshöhe:
(ein zusätzlicher Punkt je 10 cm über 1,90 m bis 2,20 m)</v>
      </c>
      <c r="G38" s="116"/>
      <c r="H38" s="222" t="s">
        <v>157</v>
      </c>
      <c r="I38" s="222" t="s">
        <v>579</v>
      </c>
      <c r="J38" s="222" t="s">
        <v>3059</v>
      </c>
      <c r="K38" s="222" t="s">
        <v>4042</v>
      </c>
      <c r="L38" s="222" t="s">
        <v>2125</v>
      </c>
      <c r="M38" s="222" t="s">
        <v>3544</v>
      </c>
      <c r="N38" s="222" t="s">
        <v>4214</v>
      </c>
      <c r="O38" s="222" t="s">
        <v>4715</v>
      </c>
    </row>
    <row r="39" spans="1:15" ht="72.5" x14ac:dyDescent="0.35">
      <c r="A39" s="4">
        <f t="shared" si="0"/>
        <v>36</v>
      </c>
      <c r="B39" s="116" t="str">
        <f t="shared" ca="1" si="6"/>
        <v>Verkehrsleitsystem weist auf Benutzungseinschränkungen hin.
• klare Ausschilderung = 3
• teilweise Ausschilderung = 2
• keine Ausschilderung = 0</v>
      </c>
      <c r="C39" s="4">
        <f t="shared" si="2"/>
        <v>36</v>
      </c>
      <c r="D39" s="233" t="s">
        <v>36</v>
      </c>
      <c r="F39" s="222" t="str">
        <f t="shared" ca="1" si="3"/>
        <v>Verkehrsleitsystem weist auf Benutzungseinschränkungen hin.
• klare Ausschilderung = 3
• teilweise Ausschilderung = 2
• keine Ausschilderung = 0</v>
      </c>
      <c r="G39" s="116"/>
      <c r="H39" s="222" t="s">
        <v>2829</v>
      </c>
      <c r="I39" s="222" t="s">
        <v>1287</v>
      </c>
      <c r="J39" s="222" t="s">
        <v>3060</v>
      </c>
      <c r="K39" s="222" t="s">
        <v>3308</v>
      </c>
      <c r="L39" s="222" t="s">
        <v>2126</v>
      </c>
      <c r="M39" s="222" t="s">
        <v>3545</v>
      </c>
      <c r="N39" s="222" t="s">
        <v>4215</v>
      </c>
      <c r="O39" s="222" t="s">
        <v>4716</v>
      </c>
    </row>
    <row r="40" spans="1:15" x14ac:dyDescent="0.35">
      <c r="A40" s="4">
        <f t="shared" si="0"/>
        <v>37</v>
      </c>
      <c r="B40" s="116" t="str">
        <f t="shared" ca="1" si="6"/>
        <v>Informationen zu:</v>
      </c>
      <c r="C40" s="4">
        <f t="shared" si="2"/>
        <v>37</v>
      </c>
      <c r="D40" s="233" t="s">
        <v>2601</v>
      </c>
      <c r="F40" s="222" t="str">
        <f t="shared" ca="1" si="3"/>
        <v>Informationen zu:</v>
      </c>
      <c r="G40" s="116"/>
      <c r="H40" s="222" t="s">
        <v>1289</v>
      </c>
      <c r="I40" s="222" t="s">
        <v>580</v>
      </c>
      <c r="J40" s="222" t="s">
        <v>945</v>
      </c>
      <c r="K40" s="222" t="s">
        <v>3309</v>
      </c>
      <c r="L40" s="222" t="s">
        <v>2127</v>
      </c>
      <c r="M40" s="222" t="s">
        <v>3546</v>
      </c>
      <c r="N40" s="222" t="s">
        <v>4216</v>
      </c>
      <c r="O40" s="222" t="s">
        <v>4717</v>
      </c>
    </row>
    <row r="41" spans="1:15" ht="29" x14ac:dyDescent="0.35">
      <c r="A41" s="4">
        <f t="shared" si="0"/>
        <v>38</v>
      </c>
      <c r="B41" s="116" t="str">
        <f t="shared" ca="1" si="6"/>
        <v>Nutzungs- und Einstellbedingungen des Betreibers</v>
      </c>
      <c r="C41" s="4">
        <f t="shared" si="2"/>
        <v>38</v>
      </c>
      <c r="D41" s="233" t="s">
        <v>2602</v>
      </c>
      <c r="F41" s="222" t="str">
        <f t="shared" ca="1" si="3"/>
        <v>Nutzungs- und Einstellbedingungen des Betreibers</v>
      </c>
      <c r="G41" s="116"/>
      <c r="H41" s="222" t="s">
        <v>2830</v>
      </c>
      <c r="I41" s="222" t="s">
        <v>581</v>
      </c>
      <c r="J41" s="222" t="s">
        <v>946</v>
      </c>
      <c r="K41" s="222" t="s">
        <v>4043</v>
      </c>
      <c r="L41" s="222" t="s">
        <v>2128</v>
      </c>
      <c r="M41" s="222" t="s">
        <v>3547</v>
      </c>
      <c r="N41" s="222" t="s">
        <v>4217</v>
      </c>
      <c r="O41" s="222" t="s">
        <v>4718</v>
      </c>
    </row>
    <row r="42" spans="1:15" x14ac:dyDescent="0.35">
      <c r="A42" s="4">
        <f t="shared" si="0"/>
        <v>39</v>
      </c>
      <c r="B42" s="116" t="str">
        <f t="shared" ca="1" si="6"/>
        <v>Tägliche Öffnungszeiten</v>
      </c>
      <c r="C42" s="4">
        <f t="shared" si="2"/>
        <v>39</v>
      </c>
      <c r="D42" s="233" t="s">
        <v>2603</v>
      </c>
      <c r="F42" s="222" t="str">
        <f t="shared" ca="1" si="3"/>
        <v>Tägliche Öffnungszeiten</v>
      </c>
      <c r="G42" s="116"/>
      <c r="H42" s="222" t="s">
        <v>2831</v>
      </c>
      <c r="I42" s="222" t="s">
        <v>582</v>
      </c>
      <c r="J42" s="222" t="s">
        <v>3061</v>
      </c>
      <c r="K42" s="222" t="s">
        <v>3310</v>
      </c>
      <c r="L42" s="222" t="s">
        <v>2129</v>
      </c>
      <c r="M42" s="222" t="s">
        <v>3548</v>
      </c>
      <c r="N42" s="222" t="s">
        <v>4218</v>
      </c>
      <c r="O42" s="222" t="s">
        <v>4719</v>
      </c>
    </row>
    <row r="43" spans="1:15" x14ac:dyDescent="0.35">
      <c r="A43" s="4">
        <f t="shared" si="0"/>
        <v>40</v>
      </c>
      <c r="B43" s="116" t="str">
        <f t="shared" ca="1" si="6"/>
        <v>Tarifauszeichnung</v>
      </c>
      <c r="C43" s="4">
        <f t="shared" si="2"/>
        <v>40</v>
      </c>
      <c r="D43" s="233" t="s">
        <v>2604</v>
      </c>
      <c r="F43" s="222" t="str">
        <f t="shared" ca="1" si="3"/>
        <v>Tarifauszeichnung</v>
      </c>
      <c r="G43" s="116"/>
      <c r="H43" s="222" t="s">
        <v>2832</v>
      </c>
      <c r="I43" s="222" t="s">
        <v>583</v>
      </c>
      <c r="J43" s="222" t="s">
        <v>948</v>
      </c>
      <c r="K43" s="222" t="s">
        <v>3311</v>
      </c>
      <c r="L43" s="222" t="s">
        <v>2130</v>
      </c>
      <c r="M43" s="222" t="s">
        <v>3549</v>
      </c>
      <c r="N43" s="222" t="s">
        <v>4219</v>
      </c>
      <c r="O43" s="222" t="s">
        <v>4720</v>
      </c>
    </row>
    <row r="44" spans="1:15" ht="29" x14ac:dyDescent="0.35">
      <c r="A44" s="4">
        <f t="shared" si="0"/>
        <v>41</v>
      </c>
      <c r="B44" s="116" t="str">
        <f t="shared" ca="1" si="6"/>
        <v>Lesbarkeit der Tarifauszeichnung</v>
      </c>
      <c r="C44" s="4">
        <f t="shared" si="2"/>
        <v>41</v>
      </c>
      <c r="D44" s="233" t="s">
        <v>2608</v>
      </c>
      <c r="F44" s="222" t="str">
        <f t="shared" ca="1" si="3"/>
        <v>Lesbarkeit der Tarifauszeichnung</v>
      </c>
      <c r="G44" s="116"/>
      <c r="H44" s="222" t="s">
        <v>2833</v>
      </c>
      <c r="I44" s="222" t="s">
        <v>584</v>
      </c>
      <c r="J44" s="222" t="s">
        <v>949</v>
      </c>
      <c r="K44" s="222" t="s">
        <v>3312</v>
      </c>
      <c r="L44" s="222" t="s">
        <v>2131</v>
      </c>
      <c r="M44" s="222" t="s">
        <v>3550</v>
      </c>
      <c r="N44" s="222" t="s">
        <v>4220</v>
      </c>
      <c r="O44" s="222" t="s">
        <v>4721</v>
      </c>
    </row>
    <row r="45" spans="1:15" ht="29" x14ac:dyDescent="0.35">
      <c r="A45" s="4">
        <f t="shared" si="0"/>
        <v>42</v>
      </c>
      <c r="B45" s="116" t="str">
        <f t="shared" ca="1" si="6"/>
        <v>Gestaltung des Ein-/Ausfahrtsbereiches</v>
      </c>
      <c r="C45" s="4">
        <f t="shared" si="2"/>
        <v>42</v>
      </c>
      <c r="D45" s="233" t="s">
        <v>2605</v>
      </c>
      <c r="F45" s="222" t="str">
        <f t="shared" ca="1" si="3"/>
        <v>Gestaltung des Ein-/Ausfahrtsbereiches</v>
      </c>
      <c r="G45" s="116"/>
      <c r="H45" s="222" t="s">
        <v>135</v>
      </c>
      <c r="I45" s="222" t="s">
        <v>585</v>
      </c>
      <c r="J45" s="222" t="s">
        <v>3062</v>
      </c>
      <c r="K45" s="222" t="s">
        <v>3313</v>
      </c>
      <c r="L45" s="222" t="s">
        <v>2132</v>
      </c>
      <c r="M45" s="222" t="s">
        <v>3551</v>
      </c>
      <c r="N45" s="222" t="s">
        <v>4221</v>
      </c>
      <c r="O45" s="222" t="s">
        <v>4722</v>
      </c>
    </row>
    <row r="46" spans="1:15" ht="29" x14ac:dyDescent="0.35">
      <c r="A46" s="4">
        <f t="shared" si="0"/>
        <v>43</v>
      </c>
      <c r="B46" s="116" t="str">
        <f t="shared" ca="1" si="6"/>
        <v>Einfahrt: Gute Erreichbarkeit des Ticketgebers:</v>
      </c>
      <c r="C46" s="4">
        <f t="shared" si="2"/>
        <v>43</v>
      </c>
      <c r="D46" s="233" t="s">
        <v>2606</v>
      </c>
      <c r="F46" s="222" t="str">
        <f t="shared" ca="1" si="3"/>
        <v>Einfahrt: Gute Erreichbarkeit des Ticketgebers:</v>
      </c>
      <c r="G46" s="116"/>
      <c r="H46" s="222" t="s">
        <v>136</v>
      </c>
      <c r="I46" s="222" t="s">
        <v>586</v>
      </c>
      <c r="J46" s="222" t="s">
        <v>951</v>
      </c>
      <c r="K46" s="222" t="s">
        <v>4044</v>
      </c>
      <c r="L46" s="222" t="s">
        <v>2133</v>
      </c>
      <c r="M46" s="222" t="s">
        <v>3552</v>
      </c>
      <c r="N46" s="222" t="s">
        <v>4222</v>
      </c>
      <c r="O46" s="222" t="s">
        <v>4723</v>
      </c>
    </row>
    <row r="47" spans="1:15" ht="29" x14ac:dyDescent="0.35">
      <c r="A47" s="4">
        <f t="shared" si="0"/>
        <v>44</v>
      </c>
      <c r="B47" s="116" t="str">
        <f t="shared" ca="1" si="6"/>
        <v>Ausfahrt: Gute Erreichbarkeit des Ticketlesers:</v>
      </c>
      <c r="C47" s="4">
        <f t="shared" si="2"/>
        <v>44</v>
      </c>
      <c r="D47" s="233" t="s">
        <v>2607</v>
      </c>
      <c r="F47" s="222" t="str">
        <f t="shared" ca="1" si="3"/>
        <v>Ausfahrt: Gute Erreichbarkeit des Ticketlesers:</v>
      </c>
      <c r="G47" s="116"/>
      <c r="H47" s="222" t="s">
        <v>137</v>
      </c>
      <c r="I47" s="222" t="s">
        <v>587</v>
      </c>
      <c r="J47" s="222" t="s">
        <v>952</v>
      </c>
      <c r="K47" s="222" t="s">
        <v>4045</v>
      </c>
      <c r="L47" s="222" t="s">
        <v>2134</v>
      </c>
      <c r="M47" s="222" t="s">
        <v>3553</v>
      </c>
      <c r="N47" s="222" t="s">
        <v>4223</v>
      </c>
      <c r="O47" s="222" t="s">
        <v>4724</v>
      </c>
    </row>
    <row r="48" spans="1:15" ht="29" x14ac:dyDescent="0.35">
      <c r="A48" s="4">
        <f t="shared" si="0"/>
        <v>45</v>
      </c>
      <c r="B48" s="116" t="str">
        <f t="shared" ca="1" si="6"/>
        <v>Längsneigung bei den Ein- / Ausfahrtsterminals</v>
      </c>
      <c r="C48" s="4">
        <f t="shared" si="2"/>
        <v>45</v>
      </c>
      <c r="D48" s="233" t="s">
        <v>2609</v>
      </c>
      <c r="F48" s="222" t="str">
        <f t="shared" ca="1" si="3"/>
        <v>Längsneigung bei den Ein- / Ausfahrtsterminals</v>
      </c>
      <c r="G48" s="116"/>
      <c r="H48" s="222" t="s">
        <v>138</v>
      </c>
      <c r="I48" s="222" t="s">
        <v>588</v>
      </c>
      <c r="J48" s="222" t="s">
        <v>3063</v>
      </c>
      <c r="K48" s="222" t="s">
        <v>4046</v>
      </c>
      <c r="L48" s="222" t="s">
        <v>2135</v>
      </c>
      <c r="M48" s="222" t="s">
        <v>3554</v>
      </c>
      <c r="N48" s="222" t="s">
        <v>4224</v>
      </c>
      <c r="O48" s="222" t="s">
        <v>4725</v>
      </c>
    </row>
    <row r="49" spans="1:15" ht="72.5" x14ac:dyDescent="0.35">
      <c r="A49" s="4">
        <f t="shared" si="0"/>
        <v>46</v>
      </c>
      <c r="B49" s="116" t="str">
        <f t="shared" ca="1" si="6"/>
        <v>Einfahrt:
• 0 - 2% (Fahrzeug bewegt sich ungebremst nicht) = 1
• 2 - 5% = 0
• Über 5% = -1</v>
      </c>
      <c r="C49" s="4">
        <f t="shared" si="2"/>
        <v>46</v>
      </c>
      <c r="D49" s="233" t="s">
        <v>2610</v>
      </c>
      <c r="F49" s="222" t="str">
        <f t="shared" ca="1" si="3"/>
        <v>Einfahrt:
• 0 - 2% (Fahrzeug bewegt sich ungebremst nicht) = 1
• 2 - 5% = 0
• Über 5% = -1</v>
      </c>
      <c r="G49" s="116"/>
      <c r="H49" s="222" t="s">
        <v>682</v>
      </c>
      <c r="I49" s="222" t="s">
        <v>681</v>
      </c>
      <c r="J49" s="222" t="s">
        <v>3064</v>
      </c>
      <c r="K49" s="222" t="s">
        <v>4047</v>
      </c>
      <c r="L49" s="222" t="s">
        <v>2136</v>
      </c>
      <c r="M49" s="222" t="s">
        <v>3555</v>
      </c>
      <c r="N49" s="222" t="s">
        <v>4225</v>
      </c>
      <c r="O49" s="222" t="s">
        <v>4726</v>
      </c>
    </row>
    <row r="50" spans="1:15" ht="72.5" x14ac:dyDescent="0.35">
      <c r="A50" s="4">
        <f t="shared" si="0"/>
        <v>47</v>
      </c>
      <c r="B50" s="116" t="str">
        <f t="shared" ca="1" si="6"/>
        <v>Ausfahrt:
• 0 - 2% (Fahrzeug bewegt sich ungebremst nicht) = 1
• 2 - 5% = 0
• Über 5% = -1</v>
      </c>
      <c r="C50" s="4">
        <f t="shared" si="2"/>
        <v>47</v>
      </c>
      <c r="D50" s="233" t="s">
        <v>2611</v>
      </c>
      <c r="F50" s="222" t="str">
        <f t="shared" ca="1" si="3"/>
        <v>Ausfahrt:
• 0 - 2% (Fahrzeug bewegt sich ungebremst nicht) = 1
• 2 - 5% = 0
• Über 5% = -1</v>
      </c>
      <c r="G50" s="116"/>
      <c r="H50" s="222" t="s">
        <v>684</v>
      </c>
      <c r="I50" s="222" t="s">
        <v>683</v>
      </c>
      <c r="J50" s="222" t="s">
        <v>3065</v>
      </c>
      <c r="K50" s="222" t="s">
        <v>4048</v>
      </c>
      <c r="L50" s="222" t="s">
        <v>2137</v>
      </c>
      <c r="M50" s="222" t="s">
        <v>3556</v>
      </c>
      <c r="N50" s="222" t="s">
        <v>4226</v>
      </c>
      <c r="O50" s="222" t="s">
        <v>4727</v>
      </c>
    </row>
    <row r="51" spans="1:15" ht="87" x14ac:dyDescent="0.35">
      <c r="A51" s="4">
        <f t="shared" si="0"/>
        <v>48</v>
      </c>
      <c r="B51" s="116" t="str">
        <f t="shared" ca="1" si="6"/>
        <v>Design der Schrammborde, um Schaden an den Fahrzeugrädern zu verhindern:
(Ja = 2, kein Schutz = 0, keine Schrammborde in Ein-/Ausfahrt = 2)</v>
      </c>
      <c r="C51" s="4">
        <f t="shared" si="2"/>
        <v>48</v>
      </c>
      <c r="D51" s="233" t="s">
        <v>40</v>
      </c>
      <c r="F51" s="222" t="str">
        <f t="shared" ca="1" si="3"/>
        <v>Design der Schrammborde, um Schaden an den Fahrzeugrädern zu verhindern:
(Ja = 2, kein Schutz = 0, keine Schrammborde in Ein-/Ausfahrt = 2)</v>
      </c>
      <c r="G51" s="116"/>
      <c r="H51" s="222" t="s">
        <v>483</v>
      </c>
      <c r="I51" s="222" t="s">
        <v>2937</v>
      </c>
      <c r="J51" s="222" t="s">
        <v>3066</v>
      </c>
      <c r="K51" s="222" t="s">
        <v>4049</v>
      </c>
      <c r="L51" s="222" t="s">
        <v>2138</v>
      </c>
      <c r="M51" s="222" t="s">
        <v>3557</v>
      </c>
      <c r="N51" s="222" t="s">
        <v>4227</v>
      </c>
      <c r="O51" s="222" t="s">
        <v>4728</v>
      </c>
    </row>
    <row r="52" spans="1:15" ht="58" x14ac:dyDescent="0.35">
      <c r="A52" s="4">
        <f t="shared" si="0"/>
        <v>49</v>
      </c>
      <c r="B52" s="116" t="str">
        <f t="shared" ca="1" si="6"/>
        <v>Rutschfeste Oberfläche in der Ein- und Ausfahrt: (vorhanden = 1, Rutschgefahr bei Nässe= 0)</v>
      </c>
      <c r="C52" s="4">
        <f t="shared" si="2"/>
        <v>49</v>
      </c>
      <c r="D52" s="233" t="s">
        <v>41</v>
      </c>
      <c r="F52" s="222" t="str">
        <f t="shared" ca="1" si="3"/>
        <v>Rutschfeste Oberfläche in der Ein- und Ausfahrt: (vorhanden = 1, Rutschgefahr bei Nässe= 0)</v>
      </c>
      <c r="G52" s="116"/>
      <c r="H52" s="222" t="s">
        <v>222</v>
      </c>
      <c r="I52" s="222" t="s">
        <v>1293</v>
      </c>
      <c r="J52" s="222" t="s">
        <v>3067</v>
      </c>
      <c r="K52" s="222" t="s">
        <v>4050</v>
      </c>
      <c r="L52" s="222" t="s">
        <v>2139</v>
      </c>
      <c r="M52" s="222" t="s">
        <v>3558</v>
      </c>
      <c r="N52" s="222" t="s">
        <v>4228</v>
      </c>
      <c r="O52" s="222" t="s">
        <v>4729</v>
      </c>
    </row>
    <row r="53" spans="1:15" x14ac:dyDescent="0.35">
      <c r="A53" s="4">
        <f t="shared" si="0"/>
        <v>50</v>
      </c>
      <c r="B53" s="116" t="str">
        <f t="shared" ca="1" si="6"/>
        <v>Zufahrtskontrolle</v>
      </c>
      <c r="C53" s="4">
        <f t="shared" si="2"/>
        <v>50</v>
      </c>
      <c r="D53" s="233" t="s">
        <v>2612</v>
      </c>
      <c r="F53" s="222" t="str">
        <f t="shared" ca="1" si="3"/>
        <v>Zufahrtskontrolle</v>
      </c>
      <c r="G53" s="116"/>
      <c r="H53" s="222" t="s">
        <v>139</v>
      </c>
      <c r="I53" s="222" t="s">
        <v>590</v>
      </c>
      <c r="J53" s="222" t="s">
        <v>958</v>
      </c>
      <c r="K53" s="222" t="s">
        <v>4051</v>
      </c>
      <c r="L53" s="222" t="s">
        <v>2140</v>
      </c>
      <c r="M53" s="222" t="s">
        <v>3559</v>
      </c>
      <c r="N53" s="222" t="s">
        <v>4229</v>
      </c>
      <c r="O53" s="222" t="s">
        <v>4730</v>
      </c>
    </row>
    <row r="54" spans="1:15" x14ac:dyDescent="0.35">
      <c r="A54" s="4">
        <f t="shared" si="0"/>
        <v>51</v>
      </c>
      <c r="B54" s="116" t="str">
        <f t="shared" ca="1" si="6"/>
        <v>Schranken</v>
      </c>
      <c r="C54" s="4">
        <f t="shared" si="2"/>
        <v>51</v>
      </c>
      <c r="D54" s="233" t="s">
        <v>2613</v>
      </c>
      <c r="F54" s="222" t="str">
        <f t="shared" ca="1" si="3"/>
        <v>Schranken</v>
      </c>
      <c r="G54" s="116"/>
      <c r="H54" s="222" t="s">
        <v>140</v>
      </c>
      <c r="I54" s="222" t="s">
        <v>591</v>
      </c>
      <c r="J54" s="222" t="s">
        <v>959</v>
      </c>
      <c r="K54" s="222" t="s">
        <v>3314</v>
      </c>
      <c r="L54" s="222" t="s">
        <v>2141</v>
      </c>
      <c r="M54" s="222" t="s">
        <v>3560</v>
      </c>
      <c r="N54" s="222" t="s">
        <v>4230</v>
      </c>
      <c r="O54" s="222" t="s">
        <v>4731</v>
      </c>
    </row>
    <row r="55" spans="1:15" x14ac:dyDescent="0.35">
      <c r="A55" s="4">
        <f t="shared" si="0"/>
        <v>52</v>
      </c>
      <c r="B55" s="116" t="str">
        <f t="shared" ca="1" si="6"/>
        <v>Sprechstelle</v>
      </c>
      <c r="C55" s="4">
        <f t="shared" si="2"/>
        <v>52</v>
      </c>
      <c r="D55" s="233" t="s">
        <v>2614</v>
      </c>
      <c r="F55" s="222" t="str">
        <f t="shared" ca="1" si="3"/>
        <v>Sprechstelle</v>
      </c>
      <c r="G55" s="116"/>
      <c r="H55" s="222" t="s">
        <v>141</v>
      </c>
      <c r="I55" s="222" t="s">
        <v>141</v>
      </c>
      <c r="J55" s="222" t="s">
        <v>960</v>
      </c>
      <c r="K55" s="222" t="s">
        <v>1458</v>
      </c>
      <c r="L55" s="222" t="s">
        <v>2142</v>
      </c>
      <c r="M55" s="222" t="s">
        <v>3561</v>
      </c>
      <c r="N55" s="222" t="s">
        <v>4231</v>
      </c>
      <c r="O55" s="222" t="s">
        <v>4732</v>
      </c>
    </row>
    <row r="56" spans="1:15" x14ac:dyDescent="0.35">
      <c r="A56" s="4">
        <f t="shared" si="0"/>
        <v>53</v>
      </c>
      <c r="B56" s="116" t="str">
        <f t="shared" ca="1" si="6"/>
        <v>Videoüberwachung</v>
      </c>
      <c r="C56" s="4">
        <f t="shared" si="2"/>
        <v>53</v>
      </c>
      <c r="D56" s="233" t="s">
        <v>2615</v>
      </c>
      <c r="F56" s="222" t="str">
        <f t="shared" ca="1" si="3"/>
        <v>Videoüberwachung</v>
      </c>
      <c r="G56" s="116"/>
      <c r="H56" s="222" t="s">
        <v>142</v>
      </c>
      <c r="I56" s="222" t="s">
        <v>142</v>
      </c>
      <c r="J56" s="222" t="s">
        <v>961</v>
      </c>
      <c r="K56" s="222" t="s">
        <v>1459</v>
      </c>
      <c r="L56" s="222" t="s">
        <v>142</v>
      </c>
      <c r="M56" s="222" t="s">
        <v>142</v>
      </c>
      <c r="N56" s="222" t="s">
        <v>142</v>
      </c>
      <c r="O56" s="222" t="s">
        <v>142</v>
      </c>
    </row>
    <row r="57" spans="1:15" ht="29" x14ac:dyDescent="0.35">
      <c r="A57" s="4">
        <f t="shared" si="0"/>
        <v>54</v>
      </c>
      <c r="B57" s="116" t="str">
        <f t="shared" ca="1" si="6"/>
        <v>Kennzeichenerkennung</v>
      </c>
      <c r="C57" s="4">
        <f t="shared" si="2"/>
        <v>54</v>
      </c>
      <c r="D57" s="233" t="s">
        <v>2616</v>
      </c>
      <c r="F57" s="222" t="str">
        <f t="shared" ca="1" si="3"/>
        <v>Kennzeichenerkennung</v>
      </c>
      <c r="G57" s="116"/>
      <c r="H57" s="222" t="s">
        <v>143</v>
      </c>
      <c r="I57" s="222" t="s">
        <v>592</v>
      </c>
      <c r="J57" s="222" t="s">
        <v>3068</v>
      </c>
      <c r="K57" s="222" t="s">
        <v>1460</v>
      </c>
      <c r="L57" s="222" t="s">
        <v>2143</v>
      </c>
      <c r="M57" s="222" t="s">
        <v>3562</v>
      </c>
      <c r="N57" s="222" t="s">
        <v>4232</v>
      </c>
      <c r="O57" s="222" t="s">
        <v>4733</v>
      </c>
    </row>
    <row r="58" spans="1:15" ht="29" x14ac:dyDescent="0.35">
      <c r="A58" s="4">
        <f t="shared" si="0"/>
        <v>55</v>
      </c>
      <c r="B58" s="116" t="str">
        <f t="shared" ca="1" si="6"/>
        <v>Schnelllauftore</v>
      </c>
      <c r="C58" s="4">
        <f t="shared" si="2"/>
        <v>55</v>
      </c>
      <c r="D58" s="233" t="s">
        <v>2617</v>
      </c>
      <c r="F58" s="222" t="str">
        <f t="shared" ca="1" si="3"/>
        <v>Schnelllauftore</v>
      </c>
      <c r="G58" s="116"/>
      <c r="H58" s="222" t="s">
        <v>144</v>
      </c>
      <c r="I58" s="222" t="s">
        <v>593</v>
      </c>
      <c r="J58" s="222" t="s">
        <v>3069</v>
      </c>
      <c r="K58" s="222" t="s">
        <v>3315</v>
      </c>
      <c r="L58" s="222" t="s">
        <v>2144</v>
      </c>
      <c r="M58" s="222" t="s">
        <v>3563</v>
      </c>
      <c r="N58" s="222" t="s">
        <v>4233</v>
      </c>
      <c r="O58" s="222" t="s">
        <v>144</v>
      </c>
    </row>
    <row r="59" spans="1:15" ht="29" x14ac:dyDescent="0.35">
      <c r="A59" s="4">
        <f t="shared" si="0"/>
        <v>56</v>
      </c>
      <c r="B59" s="116" t="str">
        <f t="shared" ca="1" si="6"/>
        <v>Personal vor Ort (Ein- oder Ausfahrt)</v>
      </c>
      <c r="C59" s="4">
        <f t="shared" si="2"/>
        <v>56</v>
      </c>
      <c r="D59" s="233" t="s">
        <v>2618</v>
      </c>
      <c r="F59" s="222" t="str">
        <f t="shared" ca="1" si="3"/>
        <v>Personal vor Ort (Ein- oder Ausfahrt)</v>
      </c>
      <c r="G59" s="116"/>
      <c r="H59" s="222" t="s">
        <v>145</v>
      </c>
      <c r="I59" s="222" t="s">
        <v>594</v>
      </c>
      <c r="J59" s="222" t="s">
        <v>964</v>
      </c>
      <c r="K59" s="222" t="s">
        <v>3316</v>
      </c>
      <c r="L59" s="222" t="s">
        <v>2145</v>
      </c>
      <c r="M59" s="222" t="s">
        <v>3564</v>
      </c>
      <c r="N59" s="222" t="s">
        <v>4234</v>
      </c>
      <c r="O59" s="222" t="s">
        <v>4734</v>
      </c>
    </row>
    <row r="60" spans="1:15" ht="58" x14ac:dyDescent="0.35">
      <c r="A60" s="4">
        <f t="shared" si="0"/>
        <v>57</v>
      </c>
      <c r="B60" s="116" t="str">
        <f t="shared" ca="1" si="6"/>
        <v>Ausfahrtsschranke öffnet automatisch, wenn mittels Kennzeichenerkennung ein bezahltes Ticket erkannt wird: ja = 2, nein = 0</v>
      </c>
      <c r="C60" s="4">
        <f t="shared" si="2"/>
        <v>57</v>
      </c>
      <c r="D60" s="233" t="s">
        <v>43</v>
      </c>
      <c r="F60" s="222" t="str">
        <f t="shared" ca="1" si="3"/>
        <v>Ausfahrtsschranke öffnet automatisch, wenn mittels Kennzeichenerkennung ein bezahltes Ticket erkannt wird: ja = 2, nein = 0</v>
      </c>
      <c r="G60" s="116"/>
      <c r="H60" s="222" t="s">
        <v>2567</v>
      </c>
      <c r="I60" s="222" t="s">
        <v>2938</v>
      </c>
      <c r="J60" s="222" t="s">
        <v>3070</v>
      </c>
      <c r="K60" s="222" t="s">
        <v>3317</v>
      </c>
      <c r="L60" s="222" t="s">
        <v>3452</v>
      </c>
      <c r="M60" s="222" t="s">
        <v>3565</v>
      </c>
      <c r="N60" s="222" t="s">
        <v>4235</v>
      </c>
      <c r="O60" s="222" t="s">
        <v>4735</v>
      </c>
    </row>
    <row r="61" spans="1:15" ht="58" x14ac:dyDescent="0.35">
      <c r="A61" s="4">
        <f t="shared" si="0"/>
        <v>58</v>
      </c>
      <c r="B61" s="116" t="str">
        <f t="shared" ca="1" si="6"/>
        <v>Ein- / Ausfahrtsbreiten: Durchfahrtsbreite zwischen Bauteilen/Schrammborden pro Spur (&lt; 3 m = 0; 3 - 3,30 m = 1; &gt; 3,30 m = 2)</v>
      </c>
      <c r="C61" s="4">
        <f t="shared" si="2"/>
        <v>58</v>
      </c>
      <c r="D61" s="233" t="s">
        <v>89</v>
      </c>
      <c r="F61" s="222" t="str">
        <f t="shared" ca="1" si="3"/>
        <v>Ein- / Ausfahrtsbreiten: Durchfahrtsbreite zwischen Bauteilen/Schrammborden pro Spur (&lt; 3 m = 0; 3 - 3,30 m = 1; &gt; 3,30 m = 2)</v>
      </c>
      <c r="G61" s="116"/>
      <c r="H61" s="222" t="s">
        <v>484</v>
      </c>
      <c r="I61" s="222" t="s">
        <v>2542</v>
      </c>
      <c r="J61" s="222" t="s">
        <v>3071</v>
      </c>
      <c r="K61" s="222" t="s">
        <v>4052</v>
      </c>
      <c r="L61" s="222" t="s">
        <v>2146</v>
      </c>
      <c r="M61" s="222" t="s">
        <v>3566</v>
      </c>
      <c r="N61" s="222" t="s">
        <v>4236</v>
      </c>
      <c r="O61" s="222" t="s">
        <v>4736</v>
      </c>
    </row>
    <row r="62" spans="1:15" ht="58" x14ac:dyDescent="0.35">
      <c r="A62" s="4">
        <f t="shared" si="0"/>
        <v>59</v>
      </c>
      <c r="B62" s="116" t="str">
        <f t="shared" ca="1" si="6"/>
        <v>Ausfahrt: Ausfahrtsspur endet mindestens 5 m vor Querverkehr (Fußgänger, Radfahrer):</v>
      </c>
      <c r="C62" s="4">
        <f t="shared" si="2"/>
        <v>59</v>
      </c>
      <c r="D62" s="233" t="s">
        <v>2619</v>
      </c>
      <c r="F62" s="222" t="str">
        <f t="shared" ca="1" si="3"/>
        <v>Ausfahrt: Ausfahrtsspur endet mindestens 5 m vor Querverkehr (Fußgänger, Radfahrer):</v>
      </c>
      <c r="G62" s="116"/>
      <c r="H62" s="222" t="s">
        <v>146</v>
      </c>
      <c r="I62" s="222" t="s">
        <v>2939</v>
      </c>
      <c r="J62" s="222" t="s">
        <v>3072</v>
      </c>
      <c r="K62" s="222" t="s">
        <v>3318</v>
      </c>
      <c r="L62" s="222" t="s">
        <v>2147</v>
      </c>
      <c r="M62" s="222" t="s">
        <v>3567</v>
      </c>
      <c r="N62" s="222" t="s">
        <v>4237</v>
      </c>
      <c r="O62" s="222" t="s">
        <v>4737</v>
      </c>
    </row>
    <row r="63" spans="1:15" x14ac:dyDescent="0.35">
      <c r="A63" s="4">
        <f t="shared" si="0"/>
        <v>60</v>
      </c>
      <c r="B63" s="116" t="str">
        <f t="shared" ca="1" si="6"/>
        <v>Parkbereich</v>
      </c>
      <c r="C63" s="4">
        <f t="shared" si="2"/>
        <v>60</v>
      </c>
      <c r="D63" s="233">
        <v>4</v>
      </c>
      <c r="F63" s="221" t="str">
        <f t="shared" ca="1" si="3"/>
        <v>Parkbereich</v>
      </c>
      <c r="G63" s="116"/>
      <c r="H63" s="220" t="s">
        <v>147</v>
      </c>
      <c r="I63" s="220" t="s">
        <v>2544</v>
      </c>
      <c r="J63" s="220" t="s">
        <v>968</v>
      </c>
      <c r="K63" s="220" t="s">
        <v>3319</v>
      </c>
      <c r="L63" s="220" t="s">
        <v>2149</v>
      </c>
      <c r="M63" s="220" t="s">
        <v>3568</v>
      </c>
      <c r="N63" s="220" t="s">
        <v>4238</v>
      </c>
      <c r="O63" s="220" t="s">
        <v>4738</v>
      </c>
    </row>
    <row r="64" spans="1:15" ht="116" x14ac:dyDescent="0.35">
      <c r="A64" s="4">
        <f t="shared" si="0"/>
        <v>61</v>
      </c>
      <c r="B64" s="116" t="str">
        <f t="shared" ca="1" si="6"/>
        <v xml:space="preserve">Position der Säulen bei mindestens 85% der Stellplätze:
• ragen nicht in die Stellplätze = 8 
• im vorderen Bereich der Stellplätze = 0
• in der Nähe der Fahrzeugtüren = 0
• im hinteren Bereich der Stellplätze, aber ragen in die Stellplätze = 4 </v>
      </c>
      <c r="C64" s="4">
        <f t="shared" si="2"/>
        <v>61</v>
      </c>
      <c r="D64" s="233" t="s">
        <v>45</v>
      </c>
      <c r="F64" s="222" t="str">
        <f t="shared" ca="1" si="3"/>
        <v xml:space="preserve">Position der Säulen bei mindestens 85% der Stellplätze:
• ragen nicht in die Stellplätze = 8 
• im vorderen Bereich der Stellplätze = 0
• in der Nähe der Fahrzeugtüren = 0
• im hinteren Bereich der Stellplätze, aber ragen in die Stellplätze = 4 </v>
      </c>
      <c r="G64" s="116"/>
      <c r="H64" s="222" t="s">
        <v>2569</v>
      </c>
      <c r="I64" s="222" t="s">
        <v>685</v>
      </c>
      <c r="J64" s="222" t="s">
        <v>3073</v>
      </c>
      <c r="K64" s="222" t="s">
        <v>5182</v>
      </c>
      <c r="L64" s="222" t="s">
        <v>2150</v>
      </c>
      <c r="M64" s="222" t="s">
        <v>3569</v>
      </c>
      <c r="N64" s="222" t="s">
        <v>4239</v>
      </c>
      <c r="O64" s="222" t="s">
        <v>4739</v>
      </c>
    </row>
    <row r="65" spans="1:15" ht="58" x14ac:dyDescent="0.35">
      <c r="A65" s="4">
        <f t="shared" ref="A65:A130" si="7">C65</f>
        <v>62</v>
      </c>
      <c r="B65" s="116" t="str">
        <f ca="1">IF(ISBLANK(VLOOKUP(A65,$C$4:$T$9877,1+$A$1)),F66,VLOOKUP(A65,$C$4:$T$9877,1+$A$1))</f>
        <v>Übersichtlichkeit (viele / wenige tote Winkel, Zwischenwände, etc.) Gut = 4; Mittel = 2; Schlecht = 0</v>
      </c>
      <c r="C65" s="4">
        <f t="shared" si="2"/>
        <v>62</v>
      </c>
      <c r="D65" s="233" t="s">
        <v>46</v>
      </c>
      <c r="F65" s="222" t="str">
        <f t="shared" ca="1" si="3"/>
        <v>Anfahrschutz an den Säulen: gute Qualität = 2; Standard = 1; keine = 0; irrelevant = 2)</v>
      </c>
      <c r="G65" s="116"/>
      <c r="H65" s="222" t="s">
        <v>2916</v>
      </c>
      <c r="I65" s="222" t="s">
        <v>4105</v>
      </c>
      <c r="J65" s="222" t="s">
        <v>3074</v>
      </c>
      <c r="K65" s="222" t="s">
        <v>3320</v>
      </c>
      <c r="L65" s="222" t="s">
        <v>3453</v>
      </c>
      <c r="M65" s="222" t="s">
        <v>3570</v>
      </c>
      <c r="N65" s="222" t="s">
        <v>4240</v>
      </c>
      <c r="O65" s="222" t="s">
        <v>4740</v>
      </c>
    </row>
    <row r="66" spans="1:15" ht="58" x14ac:dyDescent="0.35">
      <c r="A66" s="4">
        <f t="shared" si="7"/>
        <v>63</v>
      </c>
      <c r="B66" s="116" t="str">
        <f ca="1">IF(ISBLANK(VLOOKUP(A66,$C$4:$T$9877,1+$A$1)),F68,VLOOKUP(A66,$C$4:$T$9877,1+$A$1))</f>
        <v>Beschilderung für Autofahrer</v>
      </c>
      <c r="C66" s="4">
        <f t="shared" si="2"/>
        <v>63</v>
      </c>
      <c r="D66" s="233" t="s">
        <v>47</v>
      </c>
      <c r="F66" s="222" t="str">
        <f t="shared" ca="1" si="3"/>
        <v>Übersichtlichkeit (viele / wenige tote Winkel, Zwischenwände, etc.) Gut = 4; Mittel = 2; Schlecht = 0</v>
      </c>
      <c r="G66" s="116"/>
      <c r="H66" s="222" t="s">
        <v>232</v>
      </c>
      <c r="I66" s="222" t="s">
        <v>687</v>
      </c>
      <c r="J66" s="222" t="s">
        <v>3075</v>
      </c>
      <c r="K66" s="222" t="s">
        <v>3321</v>
      </c>
      <c r="L66" s="222" t="s">
        <v>2151</v>
      </c>
      <c r="M66" s="222" t="s">
        <v>3571</v>
      </c>
      <c r="N66" s="222" t="s">
        <v>4241</v>
      </c>
      <c r="O66" s="222" t="s">
        <v>4741</v>
      </c>
    </row>
    <row r="67" spans="1:15" x14ac:dyDescent="0.35">
      <c r="B67" s="116"/>
      <c r="C67" s="4">
        <f t="shared" si="2"/>
        <v>64</v>
      </c>
      <c r="D67" s="233" t="s">
        <v>2690</v>
      </c>
      <c r="F67" s="222" t="str">
        <f t="shared" ca="1" si="3"/>
        <v>Beschilderung</v>
      </c>
      <c r="G67" s="116"/>
      <c r="H67" s="222" t="s">
        <v>2691</v>
      </c>
      <c r="I67" s="222" t="s">
        <v>2940</v>
      </c>
      <c r="J67" s="222" t="s">
        <v>3076</v>
      </c>
      <c r="K67" s="222" t="s">
        <v>3322</v>
      </c>
      <c r="L67" s="222" t="s">
        <v>2152</v>
      </c>
      <c r="M67" s="222" t="s">
        <v>3572</v>
      </c>
      <c r="N67" s="222" t="s">
        <v>4242</v>
      </c>
      <c r="O67" s="222" t="s">
        <v>4742</v>
      </c>
    </row>
    <row r="68" spans="1:15" x14ac:dyDescent="0.35">
      <c r="A68" s="4">
        <f t="shared" si="7"/>
        <v>65</v>
      </c>
      <c r="B68" s="116" t="str">
        <f t="shared" ref="B68:B83" ca="1" si="8">IF(ISBLANK(VLOOKUP(A68,$C$4:$T$9877,1+$A$1)),F69,VLOOKUP(A68,$C$4:$T$9877,1+$A$1))</f>
        <v>Entsprechen die Schilder dem nationalen Verkehrsrecht</v>
      </c>
      <c r="C68" s="4">
        <f t="shared" si="2"/>
        <v>65</v>
      </c>
      <c r="D68" s="233" t="s">
        <v>2620</v>
      </c>
      <c r="F68" s="222" t="str">
        <f t="shared" ca="1" si="3"/>
        <v>Beschilderung für Autofahrer</v>
      </c>
      <c r="G68" s="116"/>
      <c r="H68" s="222" t="s">
        <v>1294</v>
      </c>
      <c r="I68" s="222" t="s">
        <v>2941</v>
      </c>
      <c r="J68" s="222" t="s">
        <v>971</v>
      </c>
      <c r="K68" s="222" t="s">
        <v>5183</v>
      </c>
      <c r="L68" s="222" t="s">
        <v>3454</v>
      </c>
      <c r="M68" s="222" t="s">
        <v>3573</v>
      </c>
      <c r="N68" s="222" t="s">
        <v>4243</v>
      </c>
      <c r="O68" s="222" t="s">
        <v>4743</v>
      </c>
    </row>
    <row r="69" spans="1:15" ht="29" x14ac:dyDescent="0.35">
      <c r="A69" s="4">
        <f t="shared" si="7"/>
        <v>66</v>
      </c>
      <c r="B69" s="116" t="str">
        <f t="shared" ca="1" si="8"/>
        <v>Wegführung und Richtungsanzeigen: Ist die Beschilderung sauber, vollständig und eindeutig?</v>
      </c>
      <c r="C69" s="4">
        <f t="shared" si="2"/>
        <v>66</v>
      </c>
      <c r="D69" s="233" t="s">
        <v>2621</v>
      </c>
      <c r="F69" s="222" t="str">
        <f t="shared" ca="1" si="3"/>
        <v>Entsprechen die Schilder dem nationalen Verkehrsrecht</v>
      </c>
      <c r="G69" s="116"/>
      <c r="H69" s="222" t="s">
        <v>1295</v>
      </c>
      <c r="I69" s="222" t="s">
        <v>597</v>
      </c>
      <c r="J69" s="222" t="s">
        <v>972</v>
      </c>
      <c r="K69" s="222" t="s">
        <v>3323</v>
      </c>
      <c r="L69" s="222" t="s">
        <v>2153</v>
      </c>
      <c r="M69" s="222" t="s">
        <v>3574</v>
      </c>
      <c r="N69" s="222" t="s">
        <v>4244</v>
      </c>
      <c r="O69" s="222" t="s">
        <v>4744</v>
      </c>
    </row>
    <row r="70" spans="1:15" ht="43.5" x14ac:dyDescent="0.35">
      <c r="A70" s="4">
        <f t="shared" si="7"/>
        <v>67</v>
      </c>
      <c r="B70" s="116" t="str">
        <f t="shared" ca="1" si="8"/>
        <v>Vollständig?</v>
      </c>
      <c r="C70" s="4">
        <f t="shared" ref="C70:C133" si="9">+C69+1</f>
        <v>67</v>
      </c>
      <c r="D70" s="233" t="s">
        <v>2622</v>
      </c>
      <c r="F70" s="222" t="str">
        <f t="shared" ca="1" si="3"/>
        <v>Wegführung und Richtungsanzeigen: Ist die Beschilderung sauber, vollständig und eindeutig?</v>
      </c>
      <c r="G70" s="116"/>
      <c r="H70" s="222" t="s">
        <v>152</v>
      </c>
      <c r="I70" s="222" t="s">
        <v>598</v>
      </c>
      <c r="J70" s="222" t="s">
        <v>3077</v>
      </c>
      <c r="K70" s="222" t="s">
        <v>5184</v>
      </c>
      <c r="L70" s="222" t="s">
        <v>2154</v>
      </c>
      <c r="M70" s="222" t="s">
        <v>3575</v>
      </c>
      <c r="N70" s="222" t="s">
        <v>4245</v>
      </c>
      <c r="O70" s="222" t="s">
        <v>4745</v>
      </c>
    </row>
    <row r="71" spans="1:15" x14ac:dyDescent="0.35">
      <c r="A71" s="4">
        <f t="shared" si="7"/>
        <v>68</v>
      </c>
      <c r="B71" s="116" t="str">
        <f t="shared" ca="1" si="8"/>
        <v>Gut erkennbar?</v>
      </c>
      <c r="C71" s="4">
        <f t="shared" si="9"/>
        <v>68</v>
      </c>
      <c r="D71" s="233" t="s">
        <v>2623</v>
      </c>
      <c r="F71" s="222" t="str">
        <f t="shared" ref="F71:F137" ca="1" si="10">OFFSET(G71,0,$C$1)</f>
        <v>Vollständig?</v>
      </c>
      <c r="G71" s="116"/>
      <c r="H71" s="222" t="s">
        <v>1296</v>
      </c>
      <c r="I71" s="222" t="s">
        <v>599</v>
      </c>
      <c r="J71" s="222" t="s">
        <v>3078</v>
      </c>
      <c r="K71" s="222" t="s">
        <v>1469</v>
      </c>
      <c r="L71" s="222" t="s">
        <v>2155</v>
      </c>
      <c r="M71" s="222" t="s">
        <v>3576</v>
      </c>
      <c r="N71" s="222" t="s">
        <v>4246</v>
      </c>
      <c r="O71" s="222" t="s">
        <v>1897</v>
      </c>
    </row>
    <row r="72" spans="1:15" x14ac:dyDescent="0.35">
      <c r="A72" s="4">
        <f t="shared" si="7"/>
        <v>69</v>
      </c>
      <c r="B72" s="116" t="str">
        <f t="shared" ca="1" si="8"/>
        <v>Eindeutig?</v>
      </c>
      <c r="C72" s="4">
        <f t="shared" si="9"/>
        <v>69</v>
      </c>
      <c r="D72" s="233" t="s">
        <v>2624</v>
      </c>
      <c r="F72" s="222" t="str">
        <f t="shared" ca="1" si="10"/>
        <v>Gut erkennbar?</v>
      </c>
      <c r="G72" s="116"/>
      <c r="H72" s="222" t="s">
        <v>154</v>
      </c>
      <c r="I72" s="222" t="s">
        <v>600</v>
      </c>
      <c r="J72" s="222" t="s">
        <v>3079</v>
      </c>
      <c r="K72" s="222" t="s">
        <v>3324</v>
      </c>
      <c r="L72" s="222" t="s">
        <v>2156</v>
      </c>
      <c r="M72" s="222" t="s">
        <v>3577</v>
      </c>
      <c r="N72" s="222" t="s">
        <v>4247</v>
      </c>
      <c r="O72" s="222" t="s">
        <v>4746</v>
      </c>
    </row>
    <row r="73" spans="1:15" x14ac:dyDescent="0.35">
      <c r="A73" s="4">
        <f t="shared" si="7"/>
        <v>70</v>
      </c>
      <c r="B73" s="116" t="str">
        <f t="shared" ca="1" si="8"/>
        <v>Ausfahrts- / Ausgangsbeschilderung: Ist die Beschilderung sauber, vollständig und eindeutig?</v>
      </c>
      <c r="C73" s="4">
        <f t="shared" si="9"/>
        <v>70</v>
      </c>
      <c r="D73" s="233" t="s">
        <v>2625</v>
      </c>
      <c r="F73" s="222" t="str">
        <f t="shared" ca="1" si="10"/>
        <v>Eindeutig?</v>
      </c>
      <c r="G73" s="116"/>
      <c r="H73" s="222" t="s">
        <v>1297</v>
      </c>
      <c r="I73" s="222" t="s">
        <v>601</v>
      </c>
      <c r="J73" s="222" t="s">
        <v>3080</v>
      </c>
      <c r="K73" s="222" t="s">
        <v>3325</v>
      </c>
      <c r="L73" s="222" t="s">
        <v>2157</v>
      </c>
      <c r="M73" s="222" t="s">
        <v>3578</v>
      </c>
      <c r="N73" s="222" t="s">
        <v>4248</v>
      </c>
      <c r="O73" s="222" t="s">
        <v>4747</v>
      </c>
    </row>
    <row r="74" spans="1:15" ht="43.5" x14ac:dyDescent="0.35">
      <c r="A74" s="4">
        <f t="shared" si="7"/>
        <v>71</v>
      </c>
      <c r="B74" s="116" t="str">
        <f t="shared" ca="1" si="8"/>
        <v>Vollständig?</v>
      </c>
      <c r="C74" s="4">
        <f t="shared" si="9"/>
        <v>71</v>
      </c>
      <c r="D74" s="233" t="s">
        <v>2626</v>
      </c>
      <c r="F74" s="222" t="str">
        <f t="shared" ca="1" si="10"/>
        <v>Ausfahrts- / Ausgangsbeschilderung: Ist die Beschilderung sauber, vollständig und eindeutig?</v>
      </c>
      <c r="G74" s="116"/>
      <c r="H74" s="222" t="s">
        <v>153</v>
      </c>
      <c r="I74" s="222" t="s">
        <v>602</v>
      </c>
      <c r="J74" s="222" t="s">
        <v>4058</v>
      </c>
      <c r="K74" s="222" t="s">
        <v>5185</v>
      </c>
      <c r="L74" s="222" t="s">
        <v>2158</v>
      </c>
      <c r="M74" s="222" t="s">
        <v>3579</v>
      </c>
      <c r="N74" s="222" t="s">
        <v>4249</v>
      </c>
      <c r="O74" s="222" t="s">
        <v>4748</v>
      </c>
    </row>
    <row r="75" spans="1:15" x14ac:dyDescent="0.35">
      <c r="A75" s="4">
        <f t="shared" si="7"/>
        <v>72</v>
      </c>
      <c r="B75" s="116" t="str">
        <f t="shared" ca="1" si="8"/>
        <v>Gut erkennbar?</v>
      </c>
      <c r="C75" s="4">
        <f t="shared" si="9"/>
        <v>72</v>
      </c>
      <c r="D75" s="233" t="s">
        <v>2627</v>
      </c>
      <c r="F75" s="222" t="str">
        <f t="shared" ca="1" si="10"/>
        <v>Vollständig?</v>
      </c>
      <c r="G75" s="116"/>
      <c r="H75" s="222" t="s">
        <v>1296</v>
      </c>
      <c r="I75" s="222" t="s">
        <v>599</v>
      </c>
      <c r="J75" s="222" t="s">
        <v>3078</v>
      </c>
      <c r="K75" s="222" t="s">
        <v>1469</v>
      </c>
      <c r="L75" s="222" t="s">
        <v>2155</v>
      </c>
      <c r="M75" s="222" t="s">
        <v>3576</v>
      </c>
      <c r="N75" s="222" t="s">
        <v>4246</v>
      </c>
      <c r="O75" s="222" t="s">
        <v>1897</v>
      </c>
    </row>
    <row r="76" spans="1:15" x14ac:dyDescent="0.35">
      <c r="A76" s="4">
        <f t="shared" si="7"/>
        <v>73</v>
      </c>
      <c r="B76" s="116" t="str">
        <f t="shared" ca="1" si="8"/>
        <v>Eindeutig?</v>
      </c>
      <c r="C76" s="4">
        <f t="shared" si="9"/>
        <v>73</v>
      </c>
      <c r="D76" s="233" t="s">
        <v>2628</v>
      </c>
      <c r="F76" s="222" t="str">
        <f t="shared" ca="1" si="10"/>
        <v>Gut erkennbar?</v>
      </c>
      <c r="G76" s="116"/>
      <c r="H76" s="222" t="s">
        <v>154</v>
      </c>
      <c r="I76" s="222" t="s">
        <v>600</v>
      </c>
      <c r="J76" s="222" t="s">
        <v>3079</v>
      </c>
      <c r="K76" s="222" t="s">
        <v>3324</v>
      </c>
      <c r="L76" s="222" t="s">
        <v>2156</v>
      </c>
      <c r="M76" s="222" t="s">
        <v>3577</v>
      </c>
      <c r="N76" s="222" t="s">
        <v>4247</v>
      </c>
      <c r="O76" s="222" t="s">
        <v>4746</v>
      </c>
    </row>
    <row r="77" spans="1:15" x14ac:dyDescent="0.35">
      <c r="A77" s="4">
        <f t="shared" si="7"/>
        <v>74</v>
      </c>
      <c r="B77" s="116" t="str">
        <f t="shared" ca="1" si="8"/>
        <v>Stellplatzmarkierung</v>
      </c>
      <c r="C77" s="4">
        <f t="shared" si="9"/>
        <v>74</v>
      </c>
      <c r="D77" s="233" t="s">
        <v>2629</v>
      </c>
      <c r="F77" s="222" t="str">
        <f t="shared" ca="1" si="10"/>
        <v>Eindeutig?</v>
      </c>
      <c r="G77" s="116"/>
      <c r="H77" s="222" t="s">
        <v>1297</v>
      </c>
      <c r="I77" s="222" t="s">
        <v>601</v>
      </c>
      <c r="J77" s="222" t="s">
        <v>3080</v>
      </c>
      <c r="K77" s="222" t="s">
        <v>3325</v>
      </c>
      <c r="L77" s="222" t="s">
        <v>2157</v>
      </c>
      <c r="M77" s="222" t="s">
        <v>3578</v>
      </c>
      <c r="N77" s="222" t="s">
        <v>4250</v>
      </c>
      <c r="O77" s="222" t="s">
        <v>4747</v>
      </c>
    </row>
    <row r="78" spans="1:15" x14ac:dyDescent="0.35">
      <c r="A78" s="4">
        <f t="shared" si="7"/>
        <v>75</v>
      </c>
      <c r="B78" s="116" t="str">
        <f t="shared" ca="1" si="8"/>
        <v>Sind die Stellplätze deutlich gekennzeichnet?</v>
      </c>
      <c r="C78" s="4">
        <f t="shared" si="9"/>
        <v>75</v>
      </c>
      <c r="D78" s="233" t="s">
        <v>2630</v>
      </c>
      <c r="F78" s="222" t="str">
        <f t="shared" ca="1" si="10"/>
        <v>Stellplatzmarkierung</v>
      </c>
      <c r="G78" s="116"/>
      <c r="H78" s="222" t="s">
        <v>1298</v>
      </c>
      <c r="I78" s="222" t="s">
        <v>603</v>
      </c>
      <c r="J78" s="222" t="s">
        <v>979</v>
      </c>
      <c r="K78" s="222" t="s">
        <v>1473</v>
      </c>
      <c r="L78" s="222" t="s">
        <v>2159</v>
      </c>
      <c r="M78" s="222" t="s">
        <v>3580</v>
      </c>
      <c r="N78" s="222" t="s">
        <v>4251</v>
      </c>
      <c r="O78" s="222" t="s">
        <v>4749</v>
      </c>
    </row>
    <row r="79" spans="1:15" ht="29" x14ac:dyDescent="0.35">
      <c r="A79" s="4">
        <f t="shared" si="7"/>
        <v>76</v>
      </c>
      <c r="B79" s="116" t="str">
        <f t="shared" ca="1" si="8"/>
        <v>Wird die Stellplatzmarkierung an der Wand zur Unterstützung des Fahrers fortgeführt?</v>
      </c>
      <c r="C79" s="4">
        <f t="shared" si="9"/>
        <v>76</v>
      </c>
      <c r="D79" s="233" t="s">
        <v>2631</v>
      </c>
      <c r="F79" s="222" t="str">
        <f t="shared" ca="1" si="10"/>
        <v>Sind die Stellplätze deutlich gekennzeichnet?</v>
      </c>
      <c r="G79" s="116"/>
      <c r="H79" s="222" t="s">
        <v>155</v>
      </c>
      <c r="I79" s="222" t="s">
        <v>604</v>
      </c>
      <c r="J79" s="222" t="s">
        <v>980</v>
      </c>
      <c r="K79" s="222" t="s">
        <v>5186</v>
      </c>
      <c r="L79" s="222" t="s">
        <v>2160</v>
      </c>
      <c r="M79" s="222" t="s">
        <v>3581</v>
      </c>
      <c r="N79" s="222" t="s">
        <v>4252</v>
      </c>
      <c r="O79" s="222" t="s">
        <v>4750</v>
      </c>
    </row>
    <row r="80" spans="1:15" ht="43.5" x14ac:dyDescent="0.35">
      <c r="A80" s="4">
        <f t="shared" si="7"/>
        <v>77</v>
      </c>
      <c r="B80" s="116" t="str">
        <f t="shared" ca="1" si="8"/>
        <v>Sind die Fahrbahnmarkierungen</v>
      </c>
      <c r="C80" s="4">
        <f t="shared" si="9"/>
        <v>77</v>
      </c>
      <c r="D80" s="233" t="s">
        <v>2632</v>
      </c>
      <c r="F80" s="222" t="str">
        <f t="shared" ca="1" si="10"/>
        <v>Wird die Stellplatzmarkierung an der Wand zur Unterstützung des Fahrers fortgeführt?</v>
      </c>
      <c r="G80" s="116"/>
      <c r="H80" s="222" t="s">
        <v>156</v>
      </c>
      <c r="I80" s="222" t="s">
        <v>605</v>
      </c>
      <c r="J80" s="222" t="s">
        <v>4059</v>
      </c>
      <c r="K80" s="222" t="s">
        <v>3326</v>
      </c>
      <c r="L80" s="222" t="s">
        <v>2161</v>
      </c>
      <c r="M80" s="222" t="s">
        <v>3582</v>
      </c>
      <c r="N80" s="222" t="s">
        <v>4253</v>
      </c>
      <c r="O80" s="222" t="s">
        <v>4751</v>
      </c>
    </row>
    <row r="81" spans="1:15" x14ac:dyDescent="0.35">
      <c r="A81" s="4">
        <f t="shared" si="7"/>
        <v>78</v>
      </c>
      <c r="B81" s="116" t="str">
        <f t="shared" ca="1" si="8"/>
        <v>Vollständig?</v>
      </c>
      <c r="C81" s="4">
        <f t="shared" si="9"/>
        <v>78</v>
      </c>
      <c r="D81" s="233" t="s">
        <v>2633</v>
      </c>
      <c r="F81" s="222" t="str">
        <f t="shared" ca="1" si="10"/>
        <v>Sind die Fahrbahnmarkierungen</v>
      </c>
      <c r="G81" s="116"/>
      <c r="H81" s="222" t="s">
        <v>2505</v>
      </c>
      <c r="I81" s="222" t="s">
        <v>606</v>
      </c>
      <c r="J81" s="222" t="s">
        <v>4060</v>
      </c>
      <c r="K81" s="222" t="s">
        <v>3327</v>
      </c>
      <c r="L81" s="222" t="s">
        <v>2162</v>
      </c>
      <c r="M81" s="222" t="s">
        <v>3583</v>
      </c>
      <c r="N81" s="222" t="s">
        <v>4254</v>
      </c>
      <c r="O81" s="222" t="s">
        <v>4752</v>
      </c>
    </row>
    <row r="82" spans="1:15" x14ac:dyDescent="0.35">
      <c r="A82" s="4">
        <f t="shared" si="7"/>
        <v>79</v>
      </c>
      <c r="B82" s="116" t="str">
        <f t="shared" ca="1" si="8"/>
        <v>Gut erkennbar?</v>
      </c>
      <c r="C82" s="4">
        <f t="shared" si="9"/>
        <v>79</v>
      </c>
      <c r="D82" s="233" t="s">
        <v>2634</v>
      </c>
      <c r="F82" s="222" t="str">
        <f t="shared" ca="1" si="10"/>
        <v>Vollständig?</v>
      </c>
      <c r="G82" s="116"/>
      <c r="H82" s="222" t="s">
        <v>1296</v>
      </c>
      <c r="I82" s="222" t="s">
        <v>599</v>
      </c>
      <c r="J82" s="222" t="s">
        <v>983</v>
      </c>
      <c r="K82" s="222" t="s">
        <v>1469</v>
      </c>
      <c r="L82" s="222" t="s">
        <v>2163</v>
      </c>
      <c r="M82" s="222" t="s">
        <v>3576</v>
      </c>
      <c r="N82" s="222" t="s">
        <v>4246</v>
      </c>
      <c r="O82" s="222" t="s">
        <v>1897</v>
      </c>
    </row>
    <row r="83" spans="1:15" x14ac:dyDescent="0.35">
      <c r="A83" s="4">
        <f t="shared" si="7"/>
        <v>80</v>
      </c>
      <c r="B83" s="116" t="str">
        <f t="shared" ca="1" si="8"/>
        <v>Eindeutig?</v>
      </c>
      <c r="C83" s="4">
        <f t="shared" si="9"/>
        <v>80</v>
      </c>
      <c r="D83" s="233" t="s">
        <v>2635</v>
      </c>
      <c r="F83" s="222" t="str">
        <f t="shared" ca="1" si="10"/>
        <v>Gut erkennbar?</v>
      </c>
      <c r="G83" s="116"/>
      <c r="H83" s="222" t="s">
        <v>154</v>
      </c>
      <c r="I83" s="222" t="s">
        <v>600</v>
      </c>
      <c r="J83" s="222" t="s">
        <v>975</v>
      </c>
      <c r="K83" s="222" t="s">
        <v>3324</v>
      </c>
      <c r="L83" s="222" t="s">
        <v>2164</v>
      </c>
      <c r="M83" s="222" t="s">
        <v>3577</v>
      </c>
      <c r="N83" s="222" t="s">
        <v>4247</v>
      </c>
      <c r="O83" s="222" t="s">
        <v>4746</v>
      </c>
    </row>
    <row r="84" spans="1:15" x14ac:dyDescent="0.35">
      <c r="A84" s="4">
        <f t="shared" si="7"/>
        <v>81</v>
      </c>
      <c r="B84" s="116" t="str">
        <f ca="1">IF(ISBLANK(VLOOKUP(A84,$C$4:$T$9877,1+$A$1)),F86,VLOOKUP(A84,$C$4:$T$9877,1+$A$1))</f>
        <v>Angabe von Stellplätzen mit barrierefreiem Zugang an der Einfahrt:</v>
      </c>
      <c r="C84" s="4">
        <f t="shared" si="9"/>
        <v>81</v>
      </c>
      <c r="D84" s="233" t="s">
        <v>2636</v>
      </c>
      <c r="F84" s="222" t="str">
        <f t="shared" ca="1" si="10"/>
        <v>Eindeutig?</v>
      </c>
      <c r="G84" s="116"/>
      <c r="H84" s="222" t="s">
        <v>1297</v>
      </c>
      <c r="I84" s="222" t="s">
        <v>601</v>
      </c>
      <c r="J84" s="222" t="s">
        <v>978</v>
      </c>
      <c r="K84" s="222" t="s">
        <v>3325</v>
      </c>
      <c r="L84" s="222" t="s">
        <v>2165</v>
      </c>
      <c r="M84" s="222" t="s">
        <v>3578</v>
      </c>
      <c r="N84" s="222" t="s">
        <v>4248</v>
      </c>
      <c r="O84" s="222" t="s">
        <v>4747</v>
      </c>
    </row>
    <row r="85" spans="1:15" ht="29" x14ac:dyDescent="0.35">
      <c r="B85" s="116"/>
      <c r="C85" s="4">
        <f t="shared" si="9"/>
        <v>82</v>
      </c>
      <c r="D85" s="233" t="s">
        <v>2692</v>
      </c>
      <c r="F85" s="222" t="str">
        <f t="shared" ca="1" si="10"/>
        <v>Stellplätze für Personen mit Einschränkungen</v>
      </c>
      <c r="G85" s="116"/>
      <c r="H85" s="222" t="s">
        <v>2686</v>
      </c>
      <c r="I85" s="222" t="s">
        <v>2942</v>
      </c>
      <c r="J85" s="222" t="s">
        <v>3081</v>
      </c>
      <c r="K85" s="222" t="s">
        <v>3328</v>
      </c>
      <c r="L85" s="222" t="s">
        <v>3457</v>
      </c>
      <c r="M85" s="222" t="s">
        <v>3584</v>
      </c>
      <c r="N85" s="222" t="s">
        <v>4255</v>
      </c>
      <c r="O85" s="222" t="s">
        <v>4753</v>
      </c>
    </row>
    <row r="86" spans="1:15" ht="58" x14ac:dyDescent="0.35">
      <c r="A86" s="4">
        <f t="shared" si="7"/>
        <v>83</v>
      </c>
      <c r="B86" s="116" t="str">
        <f t="shared" ref="B86:B94" ca="1" si="11">IF(ISBLANK(VLOOKUP(A86,$C$4:$T$9877,1+$A$1)),F87,VLOOKUP(A86,$C$4:$T$9877,1+$A$1))</f>
        <v>Barrierefreier Zugang?</v>
      </c>
      <c r="C86" s="4">
        <f t="shared" si="9"/>
        <v>83</v>
      </c>
      <c r="D86" s="233" t="s">
        <v>2637</v>
      </c>
      <c r="F86" s="222" t="str">
        <f t="shared" ca="1" si="10"/>
        <v>Angabe von Stellplätzen mit barrierefreiem Zugang an der Einfahrt:</v>
      </c>
      <c r="G86" s="116"/>
      <c r="H86" s="222" t="s">
        <v>161</v>
      </c>
      <c r="I86" s="222" t="s">
        <v>2943</v>
      </c>
      <c r="J86" s="222" t="s">
        <v>4061</v>
      </c>
      <c r="K86" s="222" t="s">
        <v>3329</v>
      </c>
      <c r="L86" s="222" t="s">
        <v>2166</v>
      </c>
      <c r="M86" s="222" t="s">
        <v>3585</v>
      </c>
      <c r="N86" s="222" t="s">
        <v>4256</v>
      </c>
      <c r="O86" s="222" t="s">
        <v>4754</v>
      </c>
    </row>
    <row r="87" spans="1:15" ht="29" x14ac:dyDescent="0.35">
      <c r="A87" s="4">
        <f t="shared" si="7"/>
        <v>84</v>
      </c>
      <c r="B87" s="116" t="str">
        <f t="shared" ca="1" si="11"/>
        <v>Mindeststellplatzbreite: 3,50 m?</v>
      </c>
      <c r="C87" s="4">
        <f t="shared" si="9"/>
        <v>84</v>
      </c>
      <c r="D87" s="233" t="s">
        <v>2638</v>
      </c>
      <c r="F87" s="222" t="str">
        <f t="shared" ca="1" si="10"/>
        <v>Barrierefreier Zugang?</v>
      </c>
      <c r="G87" s="116"/>
      <c r="H87" s="222" t="s">
        <v>159</v>
      </c>
      <c r="I87" s="222" t="s">
        <v>608</v>
      </c>
      <c r="J87" s="222" t="s">
        <v>3082</v>
      </c>
      <c r="K87" s="222" t="s">
        <v>3330</v>
      </c>
      <c r="L87" s="222" t="s">
        <v>3455</v>
      </c>
      <c r="M87" s="222" t="s">
        <v>3586</v>
      </c>
      <c r="N87" s="222" t="s">
        <v>4257</v>
      </c>
      <c r="O87" s="222" t="s">
        <v>4755</v>
      </c>
    </row>
    <row r="88" spans="1:15" ht="29" x14ac:dyDescent="0.35">
      <c r="A88" s="4">
        <f t="shared" si="7"/>
        <v>85</v>
      </c>
      <c r="B88" s="116" t="str">
        <f t="shared" ca="1" si="11"/>
        <v>Nahe zum Fußgängerausgang?</v>
      </c>
      <c r="C88" s="4">
        <f t="shared" si="9"/>
        <v>85</v>
      </c>
      <c r="D88" s="233" t="s">
        <v>2639</v>
      </c>
      <c r="F88" s="222" t="str">
        <f t="shared" ca="1" si="10"/>
        <v>Mindeststellplatzbreite: 3,50 m?</v>
      </c>
      <c r="G88" s="116"/>
      <c r="H88" s="222" t="s">
        <v>278</v>
      </c>
      <c r="I88" s="222" t="s">
        <v>2944</v>
      </c>
      <c r="J88" s="222" t="s">
        <v>3083</v>
      </c>
      <c r="K88" s="222" t="s">
        <v>5187</v>
      </c>
      <c r="L88" s="222" t="s">
        <v>2168</v>
      </c>
      <c r="M88" s="222" t="s">
        <v>3587</v>
      </c>
      <c r="N88" s="222" t="s">
        <v>4258</v>
      </c>
      <c r="O88" s="222" t="s">
        <v>4756</v>
      </c>
    </row>
    <row r="89" spans="1:15" x14ac:dyDescent="0.35">
      <c r="A89" s="4">
        <f t="shared" si="7"/>
        <v>86</v>
      </c>
      <c r="B89" s="116" t="str">
        <f t="shared" ca="1" si="11"/>
        <v>Hinweisbeschilderung zu Stellplätzen für Personen mit Einschränkungen?</v>
      </c>
      <c r="C89" s="4">
        <f t="shared" si="9"/>
        <v>86</v>
      </c>
      <c r="D89" s="233" t="s">
        <v>2640</v>
      </c>
      <c r="F89" s="222" t="str">
        <f t="shared" ca="1" si="10"/>
        <v>Nahe zum Fußgängerausgang?</v>
      </c>
      <c r="G89" s="116"/>
      <c r="H89" s="222" t="s">
        <v>160</v>
      </c>
      <c r="I89" s="222" t="s">
        <v>610</v>
      </c>
      <c r="J89" s="222" t="s">
        <v>3084</v>
      </c>
      <c r="K89" s="222" t="s">
        <v>5188</v>
      </c>
      <c r="L89" s="222" t="s">
        <v>3456</v>
      </c>
      <c r="M89" s="222" t="s">
        <v>3588</v>
      </c>
      <c r="N89" s="222" t="s">
        <v>4259</v>
      </c>
      <c r="O89" s="222" t="s">
        <v>4757</v>
      </c>
    </row>
    <row r="90" spans="1:15" ht="29" x14ac:dyDescent="0.35">
      <c r="A90" s="4">
        <f t="shared" si="7"/>
        <v>87</v>
      </c>
      <c r="B90" s="116" t="str">
        <f t="shared" ca="1" si="11"/>
        <v>Einstellwinkel bei mindestens 85% der Stellplätze:  (76° - 90° = 0; 45° - 75° = 2)</v>
      </c>
      <c r="C90" s="4">
        <f t="shared" si="9"/>
        <v>87</v>
      </c>
      <c r="D90" s="233" t="s">
        <v>2641</v>
      </c>
      <c r="F90" s="222" t="str">
        <f t="shared" ca="1" si="10"/>
        <v>Hinweisbeschilderung zu Stellplätzen für Personen mit Einschränkungen?</v>
      </c>
      <c r="G90" s="116"/>
      <c r="H90" s="222" t="s">
        <v>1299</v>
      </c>
      <c r="I90" s="222" t="s">
        <v>1313</v>
      </c>
      <c r="J90" s="222" t="s">
        <v>3085</v>
      </c>
      <c r="K90" s="222" t="s">
        <v>5189</v>
      </c>
      <c r="L90" s="222" t="s">
        <v>2170</v>
      </c>
      <c r="M90" s="222" t="s">
        <v>3589</v>
      </c>
      <c r="N90" s="222" t="s">
        <v>4260</v>
      </c>
      <c r="O90" s="222" t="s">
        <v>4758</v>
      </c>
    </row>
    <row r="91" spans="1:15" ht="43.5" x14ac:dyDescent="0.35">
      <c r="A91" s="4">
        <f t="shared" si="7"/>
        <v>88</v>
      </c>
      <c r="B91" s="116" t="str">
        <f t="shared" ca="1" si="11"/>
        <v>Stellplatzbreite  (85 % der Stellplätze), A or B: 
A: Einstellwinkel 76° - 90°
(2,25m = -5; 2,30m = 0; 2,35m = 2; 2,40m = 4; 2,45m = 6; 2,50m = 8) 
B: Einstellwinkel 45° - 75°
(2,25m = -5; 2,30m = 1; 2,35m = 3; 2,40m = 5; 2,45m = 8)
Breite von 2,25m nur für renovierte Betriebe, neue Betrieben müssen mindestens 2,30m aufweisen.</v>
      </c>
      <c r="C91" s="4">
        <f t="shared" si="9"/>
        <v>88</v>
      </c>
      <c r="D91" s="233" t="s">
        <v>52</v>
      </c>
      <c r="F91" s="222" t="str">
        <f t="shared" ca="1" si="10"/>
        <v>Einstellwinkel bei mindestens 85% der Stellplätze:  (76° - 90° = 0; 45° - 75° = 2)</v>
      </c>
      <c r="G91" s="116"/>
      <c r="H91" s="222" t="s">
        <v>2506</v>
      </c>
      <c r="I91" s="222" t="s">
        <v>1300</v>
      </c>
      <c r="J91" s="222" t="s">
        <v>3086</v>
      </c>
      <c r="K91" s="222" t="s">
        <v>5190</v>
      </c>
      <c r="L91" s="222" t="s">
        <v>2171</v>
      </c>
      <c r="M91" s="222" t="s">
        <v>3590</v>
      </c>
      <c r="N91" s="222" t="s">
        <v>4261</v>
      </c>
      <c r="O91" s="222" t="s">
        <v>4759</v>
      </c>
    </row>
    <row r="92" spans="1:15" ht="188.5" x14ac:dyDescent="0.35">
      <c r="A92" s="4">
        <f t="shared" si="7"/>
        <v>89</v>
      </c>
      <c r="B92" s="116" t="str">
        <f t="shared" ca="1" si="11"/>
        <v>Fahrbahnbreite bei Einbahnbetrieb und zwei Stellplatzreihen, abhängig von Einstellwinkel und Stellplatzbreite: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Die oben genannten Breiten qualifizieren für 3 Punkte. 
Bis 0,30 m unter den o.a. Werten: 2 Punkte
Bis 0,60 m unter den o.a. Werten: 1 Punkt
Mehr als 0,60 m unter den o.a. Werten: 0 Punkte</v>
      </c>
      <c r="C92" s="4">
        <f t="shared" si="9"/>
        <v>89</v>
      </c>
      <c r="D92" s="233" t="s">
        <v>53</v>
      </c>
      <c r="F92" s="222" t="str">
        <f t="shared" ca="1" si="10"/>
        <v>Stellplatzbreite  (85 % der Stellplätze), A or B: 
A: Einstellwinkel 76° - 90°
(2,25m = -5; 2,30m = 0; 2,35m = 2; 2,40m = 4; 2,45m = 6; 2,50m = 8) 
B: Einstellwinkel 45° - 75°
(2,25m = -5; 2,30m = 1; 2,35m = 3; 2,40m = 5; 2,45m = 8)
Breite von 2,25m nur für renovierte Betriebe, neue Betrieben müssen mindestens 2,30m aufweisen.</v>
      </c>
      <c r="G92" s="116"/>
      <c r="H92" s="222" t="s">
        <v>2507</v>
      </c>
      <c r="I92" s="222" t="s">
        <v>2945</v>
      </c>
      <c r="J92" s="222" t="s">
        <v>4062</v>
      </c>
      <c r="K92" s="222" t="s">
        <v>5191</v>
      </c>
      <c r="L92" s="222" t="s">
        <v>2172</v>
      </c>
      <c r="M92" s="222" t="s">
        <v>3591</v>
      </c>
      <c r="N92" s="222" t="s">
        <v>4262</v>
      </c>
      <c r="O92" s="222" t="s">
        <v>4760</v>
      </c>
    </row>
    <row r="93" spans="1:15" ht="409.5" x14ac:dyDescent="0.35">
      <c r="A93" s="4">
        <f t="shared" si="7"/>
        <v>90</v>
      </c>
      <c r="B93" s="116" t="str">
        <f t="shared" ca="1" si="11"/>
        <v>Design der Schrammborde, um Schaden an den Fahrzeugrädern zu verhindern:
(Ja = 2, kein Schutz = 0, keine Schrammborde = 2)</v>
      </c>
      <c r="C93" s="4">
        <f t="shared" si="9"/>
        <v>90</v>
      </c>
      <c r="D93" s="233" t="s">
        <v>54</v>
      </c>
      <c r="F93" s="222" t="str">
        <f t="shared" ca="1" si="10"/>
        <v>Fahrbahnbreite bei Einbahnbetrieb und zwei Stellplatzreihen, abhängig von Einstellwinkel und Stellplatzbreite: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Die oben genannten Breiten qualifizieren für 3 Punkte. 
Bis 0,30 m unter den o.a. Werten: 2 Punkte
Bis 0,60 m unter den o.a. Werten: 1 Punkt
Mehr als 0,60 m unter den o.a. Werten: 0 Punkte</v>
      </c>
      <c r="G93" s="116"/>
      <c r="H93" s="222" t="s">
        <v>82</v>
      </c>
      <c r="I93" s="222" t="s">
        <v>688</v>
      </c>
      <c r="J93" s="222" t="s">
        <v>3087</v>
      </c>
      <c r="K93" s="222" t="s">
        <v>5192</v>
      </c>
      <c r="L93" s="222" t="s">
        <v>2173</v>
      </c>
      <c r="M93" s="222" t="s">
        <v>3592</v>
      </c>
      <c r="N93" s="222" t="s">
        <v>4263</v>
      </c>
      <c r="O93" s="222" t="s">
        <v>4761</v>
      </c>
    </row>
    <row r="94" spans="1:15" ht="72.5" x14ac:dyDescent="0.35">
      <c r="A94" s="4">
        <f t="shared" si="7"/>
        <v>91</v>
      </c>
      <c r="B94" s="116" t="str">
        <f t="shared" ca="1" si="11"/>
        <v>Auf-/Abfahrtsrampen</v>
      </c>
      <c r="C94" s="4">
        <f t="shared" si="9"/>
        <v>91</v>
      </c>
      <c r="D94" s="233" t="s">
        <v>2642</v>
      </c>
      <c r="F94" s="222" t="str">
        <f t="shared" ca="1" si="10"/>
        <v>Design der Schrammborde, um Schaden an den Fahrzeugrädern zu verhindern:
(Ja = 2, kein Schutz = 0, keine Schrammborde = 2)</v>
      </c>
      <c r="G94" s="116"/>
      <c r="H94" s="222" t="s">
        <v>2568</v>
      </c>
      <c r="I94" s="222" t="s">
        <v>2946</v>
      </c>
      <c r="J94" s="222" t="s">
        <v>3088</v>
      </c>
      <c r="K94" s="222" t="s">
        <v>5193</v>
      </c>
      <c r="L94" s="222" t="s">
        <v>2174</v>
      </c>
      <c r="M94" s="222" t="s">
        <v>3593</v>
      </c>
      <c r="N94" s="222" t="s">
        <v>4264</v>
      </c>
      <c r="O94" s="222" t="s">
        <v>4762</v>
      </c>
    </row>
    <row r="95" spans="1:15" x14ac:dyDescent="0.35">
      <c r="A95" s="4">
        <f t="shared" si="7"/>
        <v>92</v>
      </c>
      <c r="B95" s="116" t="str">
        <f ca="1">IF(ISBLANK(VLOOKUP(A95,$C$4:$T$9877,1+$A$1)),F97,VLOOKUP(A95,$C$4:$T$9877,1+$A$1))</f>
        <v>Bodenbelag der Rampen (rutschhemmend = 1; Glatt = 0; keine Rampe = 1)</v>
      </c>
      <c r="C95" s="4">
        <f t="shared" si="9"/>
        <v>92</v>
      </c>
      <c r="D95" s="233">
        <v>5</v>
      </c>
      <c r="F95" s="220" t="str">
        <f t="shared" ca="1" si="10"/>
        <v>Auf-/Abfahrtsrampen</v>
      </c>
      <c r="G95" s="116"/>
      <c r="H95" s="220" t="s">
        <v>482</v>
      </c>
      <c r="I95" s="220" t="s">
        <v>611</v>
      </c>
      <c r="J95" s="220" t="s">
        <v>993</v>
      </c>
      <c r="K95" s="220" t="s">
        <v>5194</v>
      </c>
      <c r="L95" s="220" t="s">
        <v>2175</v>
      </c>
      <c r="M95" s="220" t="s">
        <v>3594</v>
      </c>
      <c r="N95" s="220" t="s">
        <v>4265</v>
      </c>
      <c r="O95" s="220" t="s">
        <v>4763</v>
      </c>
    </row>
    <row r="96" spans="1:15" ht="58" x14ac:dyDescent="0.35">
      <c r="B96" s="116"/>
      <c r="C96" s="4">
        <f t="shared" si="9"/>
        <v>93</v>
      </c>
      <c r="D96" s="233" t="s">
        <v>2835</v>
      </c>
      <c r="F96" s="224" t="str">
        <f t="shared" ca="1" si="10"/>
        <v>Eingeschossiger Betrieb ohne Rampen?</v>
      </c>
      <c r="G96" s="116"/>
      <c r="H96" s="224" t="s">
        <v>2834</v>
      </c>
      <c r="I96" s="224" t="s">
        <v>2546</v>
      </c>
      <c r="J96" s="224" t="s">
        <v>3089</v>
      </c>
      <c r="K96" s="224" t="s">
        <v>5195</v>
      </c>
      <c r="L96" s="224" t="s">
        <v>3458</v>
      </c>
      <c r="M96" s="224" t="s">
        <v>3595</v>
      </c>
      <c r="N96" s="224" t="s">
        <v>4266</v>
      </c>
      <c r="O96" s="224" t="s">
        <v>4764</v>
      </c>
    </row>
    <row r="97" spans="1:15" ht="58" x14ac:dyDescent="0.35">
      <c r="A97" s="4">
        <f t="shared" si="7"/>
        <v>94</v>
      </c>
      <c r="B97" s="118" t="str">
        <f ca="1">IF(ISBLANK(VLOOKUP(A97,$C$4:$T$9877,1+$A$1)),F98,VLOOKUP(A97,$C$4:$T$9877,1+$A$1))</f>
        <v>Gefälle der Verbindungsrampen (keine Parkrampen)
•  &lt; 10 % = 3; 10 - 15 % = 1; &gt; 15 % = 0; keine Rampe = 3</v>
      </c>
      <c r="C97" s="4">
        <f t="shared" si="9"/>
        <v>94</v>
      </c>
      <c r="D97" s="233" t="s">
        <v>55</v>
      </c>
      <c r="F97" s="224" t="str">
        <f t="shared" ca="1" si="10"/>
        <v>Bodenbelag der Rampen (rutschhemmend = 1; Glatt = 0; keine Rampe = 1)</v>
      </c>
      <c r="G97" s="118"/>
      <c r="H97" s="224" t="s">
        <v>166</v>
      </c>
      <c r="I97" s="224" t="s">
        <v>1301</v>
      </c>
      <c r="J97" s="224" t="s">
        <v>3090</v>
      </c>
      <c r="K97" s="224" t="s">
        <v>5196</v>
      </c>
      <c r="L97" s="224" t="s">
        <v>2177</v>
      </c>
      <c r="M97" s="224" t="s">
        <v>3596</v>
      </c>
      <c r="N97" s="224" t="s">
        <v>4267</v>
      </c>
      <c r="O97" s="224" t="s">
        <v>4765</v>
      </c>
    </row>
    <row r="98" spans="1:15" ht="62.5" x14ac:dyDescent="0.35">
      <c r="A98" s="4">
        <f t="shared" si="7"/>
        <v>95</v>
      </c>
      <c r="B98" s="118" t="str">
        <f ca="1">IF(ISBLANK(VLOOKUP(A98,$C$4:$T$9877,1+$A$1)),F99,VLOOKUP(A98,$C$4:$T$9877,1+$A$1))</f>
        <v>Rampenbreite (zwischen Schrammborden) gemessen am engsten Punkt</v>
      </c>
      <c r="C98" s="4">
        <f t="shared" si="9"/>
        <v>95</v>
      </c>
      <c r="D98" s="233" t="s">
        <v>56</v>
      </c>
      <c r="F98" s="225" t="str">
        <f t="shared" ca="1" si="10"/>
        <v>Gefälle der Verbindungsrampen (keine Parkrampen)
•  &lt; 10 % = 3; 10 - 15 % = 1; &gt; 15 % = 0; keine Rampe = 3</v>
      </c>
      <c r="G98" s="118"/>
      <c r="H98" s="225" t="s">
        <v>171</v>
      </c>
      <c r="I98" s="225" t="s">
        <v>1302</v>
      </c>
      <c r="J98" s="225" t="s">
        <v>3091</v>
      </c>
      <c r="K98" s="225" t="s">
        <v>5197</v>
      </c>
      <c r="L98" s="225" t="s">
        <v>2178</v>
      </c>
      <c r="M98" s="225" t="s">
        <v>3597</v>
      </c>
      <c r="N98" s="225" t="s">
        <v>4268</v>
      </c>
      <c r="O98" s="225" t="s">
        <v>4766</v>
      </c>
    </row>
    <row r="99" spans="1:15" ht="37.5" x14ac:dyDescent="0.35">
      <c r="A99" s="4">
        <f t="shared" si="7"/>
        <v>96</v>
      </c>
      <c r="B99" s="118" t="str">
        <f ca="1">IF(ISBLANK(VLOOKUP(A99,$C$4:$T$9877,1+$A$1)),F100,VLOOKUP(A99,$C$4:$T$9877,1+$A$1))</f>
        <v>Geschwungene Rampen müssen 1 m breiter sein für dieselbe Punkteanzahl. Gibt es Schrammborde?</v>
      </c>
      <c r="C99" s="4">
        <f t="shared" si="9"/>
        <v>96</v>
      </c>
      <c r="D99" s="233" t="s">
        <v>2643</v>
      </c>
      <c r="F99" s="225" t="str">
        <f t="shared" ca="1" si="10"/>
        <v>Rampenbreite (zwischen Schrammborden) gemessen am engsten Punkt</v>
      </c>
      <c r="G99" s="118"/>
      <c r="H99" s="225" t="s">
        <v>1303</v>
      </c>
      <c r="I99" s="225" t="s">
        <v>612</v>
      </c>
      <c r="J99" s="225" t="s">
        <v>4063</v>
      </c>
      <c r="K99" s="225" t="s">
        <v>3331</v>
      </c>
      <c r="L99" s="225" t="s">
        <v>2179</v>
      </c>
      <c r="M99" s="225" t="s">
        <v>3598</v>
      </c>
      <c r="N99" s="225" t="s">
        <v>4269</v>
      </c>
      <c r="O99" s="225" t="s">
        <v>4767</v>
      </c>
    </row>
    <row r="100" spans="1:15" ht="37.5" x14ac:dyDescent="0.35">
      <c r="A100" s="4">
        <f t="shared" si="7"/>
        <v>97</v>
      </c>
      <c r="B100" s="119" t="str">
        <f ca="1">IF(ISBLANK(VLOOKUP(A100,$C$4:$T$9877,1+$A$1)),F101,VLOOKUP(A100,$C$4:$T$9877,1+$A$1))</f>
        <v>Bitte Breite auswählen. &lt; 3,00 m = 0; 3,00 - 3,30 m = 1; &gt; 3,30 m = 3; keine Rampe = 3</v>
      </c>
      <c r="C100" s="4">
        <f t="shared" si="9"/>
        <v>97</v>
      </c>
      <c r="D100" s="233" t="s">
        <v>2644</v>
      </c>
      <c r="F100" s="225" t="str">
        <f t="shared" ca="1" si="10"/>
        <v>Geschwungene Rampen müssen 1 m breiter sein für dieselbe Punkteanzahl. Gibt es Schrammborde?</v>
      </c>
      <c r="G100" s="119"/>
      <c r="H100" s="225" t="s">
        <v>172</v>
      </c>
      <c r="I100" s="225" t="s">
        <v>690</v>
      </c>
      <c r="J100" s="225" t="s">
        <v>3092</v>
      </c>
      <c r="K100" s="225" t="s">
        <v>5198</v>
      </c>
      <c r="L100" s="225" t="s">
        <v>2180</v>
      </c>
      <c r="M100" s="225" t="s">
        <v>3599</v>
      </c>
      <c r="N100" s="225" t="s">
        <v>4270</v>
      </c>
      <c r="O100" s="225" t="s">
        <v>4768</v>
      </c>
    </row>
    <row r="101" spans="1:15" ht="37.5" x14ac:dyDescent="0.35">
      <c r="A101" s="4">
        <f t="shared" si="7"/>
        <v>98</v>
      </c>
      <c r="B101" s="120" t="str">
        <f ca="1">IF(ISBLANK(VLOOKUP(A101,$C$4:$T$9877,1+$A$1)),F103,VLOOKUP(A101,$C$4:$T$9877,1+$A$1))</f>
        <v>Radius der Rampe (Außenradius) bei geschwungenen Rampen
• &lt; 9,00 m = 0; 9,00 - 10,00 m = 1; &gt; 10,00 m = 2; keine Rampe = 2
Bei Rampen mit Gegenverkehr gilt die innere Fahrspur</v>
      </c>
      <c r="C101" s="4">
        <f t="shared" si="9"/>
        <v>98</v>
      </c>
      <c r="D101" s="233" t="s">
        <v>2645</v>
      </c>
      <c r="F101" s="226" t="str">
        <f t="shared" ca="1" si="10"/>
        <v>Bitte Breite auswählen. &lt; 3,00 m = 0; 3,00 - 3,30 m = 1; &gt; 3,30 m = 3; keine Rampe = 3</v>
      </c>
      <c r="G101" s="120"/>
      <c r="H101" s="226" t="s">
        <v>2917</v>
      </c>
      <c r="I101" s="226" t="s">
        <v>2947</v>
      </c>
      <c r="J101" s="226" t="s">
        <v>3093</v>
      </c>
      <c r="K101" s="226" t="s">
        <v>5199</v>
      </c>
      <c r="L101" s="226" t="s">
        <v>3459</v>
      </c>
      <c r="M101" s="226" t="s">
        <v>3600</v>
      </c>
      <c r="N101" s="226" t="s">
        <v>4271</v>
      </c>
      <c r="O101" s="226" t="s">
        <v>4769</v>
      </c>
    </row>
    <row r="102" spans="1:15" ht="37.5" x14ac:dyDescent="0.35">
      <c r="A102" s="4">
        <f t="shared" si="7"/>
        <v>99</v>
      </c>
      <c r="B102" s="120" t="s">
        <v>2918</v>
      </c>
      <c r="C102" s="4">
        <f t="shared" si="9"/>
        <v>99</v>
      </c>
      <c r="D102" s="233" t="s">
        <v>2918</v>
      </c>
      <c r="F102" s="226" t="str">
        <f t="shared" ref="F102" ca="1" si="12">OFFSET(G102,0,$C$1)</f>
        <v>Bitte Breite auswählen. &lt; 4,00 m = 0; 4,00 - 4,30 m = 1; &gt; 4,30 m; keine Rampe = 3</v>
      </c>
      <c r="G102" s="120"/>
      <c r="H102" s="226" t="s">
        <v>2919</v>
      </c>
      <c r="I102" s="226" t="s">
        <v>2948</v>
      </c>
      <c r="J102" s="226" t="s">
        <v>3094</v>
      </c>
      <c r="K102" s="226" t="s">
        <v>5200</v>
      </c>
      <c r="L102" s="226" t="s">
        <v>3460</v>
      </c>
      <c r="M102" s="226" t="s">
        <v>3601</v>
      </c>
      <c r="N102" s="226" t="s">
        <v>4272</v>
      </c>
      <c r="O102" s="226" t="s">
        <v>4770</v>
      </c>
    </row>
    <row r="103" spans="1:15" ht="98" x14ac:dyDescent="0.35">
      <c r="A103" s="4">
        <f t="shared" si="7"/>
        <v>100</v>
      </c>
      <c r="B103" s="118" t="str">
        <f ca="1">IF(ISBLANK(VLOOKUP(A103,$C$4:$T$9877,1+$A$1)),F104,VLOOKUP(A103,$C$4:$T$9877,1+$A$1))</f>
        <v>Eingangskurve zu geraden Rampen
•  &lt; 7,50 m = 0; 7,50 – 9,00 m = 1; &gt; 9,00 m = 2; keine Rampe = 2</v>
      </c>
      <c r="C103" s="4">
        <f t="shared" si="9"/>
        <v>100</v>
      </c>
      <c r="D103" s="233" t="s">
        <v>58</v>
      </c>
      <c r="F103" s="227" t="str">
        <f t="shared" ca="1" si="10"/>
        <v>Radius der Rampe (Außenradius) bei geschwungenen Rampen
• &lt; 9,00 m = 0; 9,00 - 10,00 m = 1; &gt; 10,00 m = 2; keine Rampe = 2
Bei Rampen mit Gegenverkehr gilt die innere Fahrspur</v>
      </c>
      <c r="G103" s="118"/>
      <c r="H103" s="227" t="s">
        <v>178</v>
      </c>
      <c r="I103" s="227" t="s">
        <v>1304</v>
      </c>
      <c r="J103" s="227" t="s">
        <v>3095</v>
      </c>
      <c r="K103" s="227" t="s">
        <v>5201</v>
      </c>
      <c r="L103" s="227" t="s">
        <v>2302</v>
      </c>
      <c r="M103" s="227" t="s">
        <v>3602</v>
      </c>
      <c r="N103" s="227" t="s">
        <v>4273</v>
      </c>
      <c r="O103" s="227" t="s">
        <v>4770</v>
      </c>
    </row>
    <row r="104" spans="1:15" ht="37.5" x14ac:dyDescent="0.35">
      <c r="A104" s="4">
        <f t="shared" si="7"/>
        <v>101</v>
      </c>
      <c r="B104" s="118" t="str">
        <f ca="1">IF(ISBLANK(VLOOKUP(A104,$C$4:$T$9877,1+$A$1)),F105,VLOOKUP(A104,$C$4:$T$9877,1+$A$1))</f>
        <v>Parkebene mit Gefälle (Längsneigung)
•  &lt; 5% = 3; 5% - 7% = 1; &gt; 7% = 0; kein Gefälle = 3</v>
      </c>
      <c r="C104" s="4">
        <f t="shared" si="9"/>
        <v>101</v>
      </c>
      <c r="D104" s="233" t="s">
        <v>90</v>
      </c>
      <c r="F104" s="225" t="str">
        <f t="shared" ca="1" si="10"/>
        <v>Eingangskurve zu geraden Rampen
•  &lt; 7,50 m = 0; 7,50 – 9,00 m = 1; &gt; 9,00 m = 2; keine Rampe = 2</v>
      </c>
      <c r="G104" s="118"/>
      <c r="H104" s="225" t="s">
        <v>179</v>
      </c>
      <c r="I104" s="225" t="s">
        <v>2949</v>
      </c>
      <c r="J104" s="225" t="s">
        <v>3096</v>
      </c>
      <c r="K104" s="225" t="s">
        <v>5202</v>
      </c>
      <c r="L104" s="225" t="s">
        <v>2181</v>
      </c>
      <c r="M104" s="225" t="s">
        <v>3603</v>
      </c>
      <c r="N104" s="225" t="s">
        <v>4274</v>
      </c>
      <c r="O104" s="225" t="s">
        <v>4771</v>
      </c>
    </row>
    <row r="105" spans="1:15" ht="50" x14ac:dyDescent="0.35">
      <c r="A105" s="4">
        <f t="shared" si="7"/>
        <v>102</v>
      </c>
      <c r="B105" s="118" t="e">
        <f>IF(ISBLANK(VLOOKUP(A105,$C$4:$T$9877,1+$A$1)),#REF!,VLOOKUP(A105,$C$4:$T$9877,1+$A$1))</f>
        <v>#REF!</v>
      </c>
      <c r="C105" s="4">
        <f t="shared" si="9"/>
        <v>102</v>
      </c>
      <c r="D105" s="233" t="s">
        <v>91</v>
      </c>
      <c r="F105" s="225" t="str">
        <f t="shared" ca="1" si="10"/>
        <v>Parkebene mit Gefälle (Längsneigung)
•  &lt; 5% = 3; 5% - 7% = 1; &gt; 7% = 0; kein Gefälle = 3</v>
      </c>
      <c r="G105" s="118"/>
      <c r="H105" s="225" t="s">
        <v>180</v>
      </c>
      <c r="I105" s="225" t="s">
        <v>692</v>
      </c>
      <c r="J105" s="225" t="s">
        <v>3097</v>
      </c>
      <c r="K105" s="225" t="s">
        <v>5203</v>
      </c>
      <c r="L105" s="225" t="s">
        <v>2303</v>
      </c>
      <c r="M105" s="225" t="s">
        <v>3604</v>
      </c>
      <c r="N105" s="225" t="s">
        <v>4275</v>
      </c>
      <c r="O105" s="225" t="s">
        <v>4772</v>
      </c>
    </row>
    <row r="106" spans="1:15" x14ac:dyDescent="0.35">
      <c r="A106" s="4">
        <f t="shared" si="7"/>
        <v>103</v>
      </c>
      <c r="B106" s="116" t="e">
        <f>IF(ISBLANK(VLOOKUP(A106,$C$4:$T$9877,1+$A$1)),#REF!,VLOOKUP(A106,$C$4:$T$9877,1+$A$1))</f>
        <v>#REF!</v>
      </c>
      <c r="C106" s="4">
        <f t="shared" si="9"/>
        <v>103</v>
      </c>
      <c r="D106" s="233">
        <v>6</v>
      </c>
      <c r="F106" s="221" t="str">
        <f t="shared" ca="1" si="10"/>
        <v>Fußgängerzugang</v>
      </c>
      <c r="G106" s="116"/>
      <c r="H106" s="220" t="s">
        <v>181</v>
      </c>
      <c r="I106" s="220" t="s">
        <v>613</v>
      </c>
      <c r="J106" s="220" t="s">
        <v>1002</v>
      </c>
      <c r="K106" s="220" t="s">
        <v>3332</v>
      </c>
      <c r="L106" s="220" t="s">
        <v>2182</v>
      </c>
      <c r="M106" s="220" t="s">
        <v>3605</v>
      </c>
      <c r="N106" s="220" t="s">
        <v>4276</v>
      </c>
      <c r="O106" s="220" t="s">
        <v>4773</v>
      </c>
    </row>
    <row r="107" spans="1:15" ht="37.5" x14ac:dyDescent="0.35">
      <c r="A107" s="4">
        <f t="shared" si="7"/>
        <v>104</v>
      </c>
      <c r="B107" s="116" t="str">
        <f t="shared" ref="B107:B132" ca="1" si="13">IF(ISBLANK(VLOOKUP(A107,$C$4:$T$9877,1+$A$1)),F108,VLOOKUP(A107,$C$4:$T$9877,1+$A$1))</f>
        <v>Führen Aufzüge auf das Straßenniveau?</v>
      </c>
      <c r="C107" s="4">
        <f t="shared" si="9"/>
        <v>104</v>
      </c>
      <c r="D107" s="233" t="s">
        <v>2646</v>
      </c>
      <c r="F107" s="224" t="str">
        <f t="shared" ca="1" si="10"/>
        <v>Eingeschossige und ebenerdige Parkeinrichtung? (kein unüberdachter Parkplatz)</v>
      </c>
      <c r="G107" s="116"/>
      <c r="H107" s="557" t="s">
        <v>199</v>
      </c>
      <c r="I107" s="558" t="s">
        <v>2548</v>
      </c>
      <c r="J107" s="558" t="s">
        <v>3098</v>
      </c>
      <c r="K107" s="559" t="s">
        <v>5204</v>
      </c>
      <c r="L107" s="559" t="s">
        <v>3461</v>
      </c>
      <c r="M107" s="559" t="s">
        <v>3606</v>
      </c>
      <c r="N107" s="559" t="s">
        <v>4277</v>
      </c>
      <c r="O107" s="559" t="s">
        <v>4774</v>
      </c>
    </row>
    <row r="108" spans="1:15" ht="25" x14ac:dyDescent="0.35">
      <c r="A108" s="4">
        <f t="shared" si="7"/>
        <v>105</v>
      </c>
      <c r="B108" s="116" t="str">
        <f t="shared" ca="1" si="13"/>
        <v>Sind die Fahrstühle das primäre Etagenverbindung? (Treppen nur sekundär oder als Fluchtwege)</v>
      </c>
      <c r="C108" s="4">
        <f t="shared" si="9"/>
        <v>105</v>
      </c>
      <c r="D108" s="233" t="s">
        <v>2647</v>
      </c>
      <c r="F108" s="222" t="str">
        <f t="shared" ca="1" si="10"/>
        <v>Führen Aufzüge auf das Straßenniveau?</v>
      </c>
      <c r="G108" s="116"/>
      <c r="H108" s="560" t="s">
        <v>203</v>
      </c>
      <c r="I108" s="561" t="s">
        <v>616</v>
      </c>
      <c r="J108" s="561" t="s">
        <v>3099</v>
      </c>
      <c r="K108" s="562" t="s">
        <v>5205</v>
      </c>
      <c r="L108" s="562" t="s">
        <v>3462</v>
      </c>
      <c r="M108" s="562" t="s">
        <v>3607</v>
      </c>
      <c r="N108" s="562" t="s">
        <v>4278</v>
      </c>
      <c r="O108" s="562" t="s">
        <v>4775</v>
      </c>
    </row>
    <row r="109" spans="1:15" ht="50" x14ac:dyDescent="0.35">
      <c r="A109" s="4">
        <f t="shared" si="7"/>
        <v>106</v>
      </c>
      <c r="B109" s="116" t="str">
        <f t="shared" ca="1" si="13"/>
        <v>Kopffreiheit für Fußgänger - außer unter Türen
• &lt; 2,00m = 0
• 2,00m - 2,10m = 1
• 2,10m - 2,20m = 2
• &gt; 2,20m = 3</v>
      </c>
      <c r="C109" s="4">
        <f t="shared" si="9"/>
        <v>106</v>
      </c>
      <c r="D109" s="233" t="s">
        <v>2648</v>
      </c>
      <c r="F109" s="222" t="str">
        <f t="shared" ca="1" si="10"/>
        <v>Sind die Fahrstühle das primäre Etagenverbindung? (Treppen nur sekundär oder als Fluchtwege)</v>
      </c>
      <c r="G109" s="116"/>
      <c r="H109" s="560" t="s">
        <v>502</v>
      </c>
      <c r="I109" s="561" t="s">
        <v>622</v>
      </c>
      <c r="J109" s="561" t="s">
        <v>3100</v>
      </c>
      <c r="K109" s="562" t="s">
        <v>5206</v>
      </c>
      <c r="L109" s="562" t="s">
        <v>3463</v>
      </c>
      <c r="M109" s="562" t="s">
        <v>3608</v>
      </c>
      <c r="N109" s="562" t="s">
        <v>4279</v>
      </c>
      <c r="O109" s="562" t="s">
        <v>4776</v>
      </c>
    </row>
    <row r="110" spans="1:15" ht="101.5" x14ac:dyDescent="0.35">
      <c r="A110" s="4">
        <f t="shared" si="7"/>
        <v>107</v>
      </c>
      <c r="B110" s="116" t="str">
        <f t="shared" ca="1" si="13"/>
        <v>Separat ausgewiesene Fußgängerwege (z.B. erhöht, Zebrastreifen, farbige Kennzeichnung) (ja = 2; nein = 0)</v>
      </c>
      <c r="C110" s="4">
        <f t="shared" si="9"/>
        <v>107</v>
      </c>
      <c r="D110" s="233" t="s">
        <v>79</v>
      </c>
      <c r="F110" s="222" t="str">
        <f t="shared" ca="1" si="10"/>
        <v>Kopffreiheit für Fußgänger - außer unter Türen
• &lt; 2,00m = 0
• 2,00m - 2,10m = 1
• 2,10m - 2,20m = 2
• &gt; 2,20m = 3</v>
      </c>
      <c r="G110" s="116"/>
      <c r="H110" s="563" t="s">
        <v>694</v>
      </c>
      <c r="I110" s="564" t="s">
        <v>2950</v>
      </c>
      <c r="J110" s="564" t="s">
        <v>3101</v>
      </c>
      <c r="K110" s="565" t="s">
        <v>5207</v>
      </c>
      <c r="L110" s="565" t="s">
        <v>2304</v>
      </c>
      <c r="M110" s="565" t="s">
        <v>3609</v>
      </c>
      <c r="N110" s="565" t="s">
        <v>4280</v>
      </c>
      <c r="O110" s="565" t="s">
        <v>4777</v>
      </c>
    </row>
    <row r="111" spans="1:15" ht="43.5" x14ac:dyDescent="0.35">
      <c r="A111" s="4">
        <f t="shared" si="7"/>
        <v>108</v>
      </c>
      <c r="B111" s="116" t="str">
        <f t="shared" ca="1" si="13"/>
        <v>Sind die Zugangstüren einfach zu bedienen? 
(ja, automatisch oder offen = 4; einfach zu öffnen = 2; nein = 0)</v>
      </c>
      <c r="C111" s="4">
        <f t="shared" si="9"/>
        <v>108</v>
      </c>
      <c r="D111" s="233" t="s">
        <v>80</v>
      </c>
      <c r="F111" s="222" t="str">
        <f t="shared" ca="1" si="10"/>
        <v>Separat ausgewiesene Fußgängerwege (z.B. erhöht, Zebrastreifen, farbige Kennzeichnung) (ja = 2; nein = 0)</v>
      </c>
      <c r="G111" s="116"/>
      <c r="H111" s="222" t="s">
        <v>494</v>
      </c>
      <c r="I111" s="222" t="s">
        <v>695</v>
      </c>
      <c r="J111" s="222" t="s">
        <v>3102</v>
      </c>
      <c r="K111" s="222" t="s">
        <v>5208</v>
      </c>
      <c r="L111" s="222" t="s">
        <v>2306</v>
      </c>
      <c r="M111" s="222" t="s">
        <v>3610</v>
      </c>
      <c r="N111" s="222" t="s">
        <v>4281</v>
      </c>
      <c r="O111" s="222" t="s">
        <v>4778</v>
      </c>
    </row>
    <row r="112" spans="1:15" ht="72.5" x14ac:dyDescent="0.35">
      <c r="A112" s="4">
        <f t="shared" si="7"/>
        <v>109</v>
      </c>
      <c r="B112" s="116" t="str">
        <f t="shared" ca="1" si="13"/>
        <v>Zutrittskontrolle per Ticket / Medium (ja = 1; nein = 0)</v>
      </c>
      <c r="C112" s="4">
        <f t="shared" si="9"/>
        <v>109</v>
      </c>
      <c r="D112" s="233" t="s">
        <v>81</v>
      </c>
      <c r="F112" s="222" t="str">
        <f t="shared" ca="1" si="10"/>
        <v>Sind die Zugangstüren einfach zu bedienen? 
(ja, automatisch oder offen = 4; einfach zu öffnen = 2; nein = 0)</v>
      </c>
      <c r="G112" s="116"/>
      <c r="H112" s="222" t="s">
        <v>193</v>
      </c>
      <c r="I112" s="222" t="s">
        <v>696</v>
      </c>
      <c r="J112" s="222" t="s">
        <v>3103</v>
      </c>
      <c r="K112" s="222" t="s">
        <v>5209</v>
      </c>
      <c r="L112" s="222" t="s">
        <v>2305</v>
      </c>
      <c r="M112" s="222" t="s">
        <v>3611</v>
      </c>
      <c r="N112" s="222" t="s">
        <v>4282</v>
      </c>
      <c r="O112" s="222" t="s">
        <v>4779</v>
      </c>
    </row>
    <row r="113" spans="1:15" ht="43.5" x14ac:dyDescent="0.35">
      <c r="A113" s="4">
        <f t="shared" si="7"/>
        <v>110</v>
      </c>
      <c r="B113" s="116" t="str">
        <f t="shared" ca="1" si="13"/>
        <v>Anzahl der Aufzüge auf Straßen-Niveau:
(1 Aufzug = 1; 2 oder mehr Aufzüge = 5)</v>
      </c>
      <c r="C113" s="4">
        <f t="shared" si="9"/>
        <v>110</v>
      </c>
      <c r="D113" s="233" t="s">
        <v>148</v>
      </c>
      <c r="F113" s="222" t="str">
        <f t="shared" ca="1" si="10"/>
        <v>Zutrittskontrolle per Ticket / Medium (ja = 1; nein = 0)</v>
      </c>
      <c r="G113" s="116"/>
      <c r="H113" s="222" t="s">
        <v>194</v>
      </c>
      <c r="I113" s="222" t="s">
        <v>697</v>
      </c>
      <c r="J113" s="222" t="s">
        <v>3104</v>
      </c>
      <c r="K113" s="222" t="s">
        <v>3333</v>
      </c>
      <c r="L113" s="222" t="s">
        <v>2184</v>
      </c>
      <c r="M113" s="222" t="s">
        <v>3612</v>
      </c>
      <c r="N113" s="222" t="s">
        <v>4283</v>
      </c>
      <c r="O113" s="222" t="s">
        <v>4780</v>
      </c>
    </row>
    <row r="114" spans="1:15" ht="43.5" x14ac:dyDescent="0.35">
      <c r="A114" s="4">
        <f t="shared" si="7"/>
        <v>111</v>
      </c>
      <c r="B114" s="116" t="str">
        <f t="shared" ca="1" si="13"/>
        <v>Größe der Aufzüge:
(Mehr als 8 Personen = 3; 4 - 8 Personen = 1; weniger als 4 = 0)</v>
      </c>
      <c r="C114" s="4">
        <f t="shared" si="9"/>
        <v>111</v>
      </c>
      <c r="D114" s="233" t="s">
        <v>1785</v>
      </c>
      <c r="F114" s="222" t="str">
        <f t="shared" ca="1" si="10"/>
        <v>Anzahl der Aufzüge auf Straßen-Niveau:
(1 Aufzug = 1; 2 oder mehr Aufzüge = 5)</v>
      </c>
      <c r="G114" s="116"/>
      <c r="H114" s="222" t="s">
        <v>495</v>
      </c>
      <c r="I114" s="222" t="s">
        <v>701</v>
      </c>
      <c r="J114" s="222" t="s">
        <v>3105</v>
      </c>
      <c r="K114" s="222" t="s">
        <v>3334</v>
      </c>
      <c r="L114" s="222" t="s">
        <v>2312</v>
      </c>
      <c r="M114" s="222" t="s">
        <v>3613</v>
      </c>
      <c r="N114" s="222" t="s">
        <v>4284</v>
      </c>
      <c r="O114" s="222" t="s">
        <v>4781</v>
      </c>
    </row>
    <row r="115" spans="1:15" ht="43.5" x14ac:dyDescent="0.35">
      <c r="A115" s="4">
        <f t="shared" si="7"/>
        <v>112</v>
      </c>
      <c r="B115" s="116" t="str">
        <f t="shared" ca="1" si="13"/>
        <v>Sichtverbindung zwischen dem Aufzug und Vorraum/Parkebene
(keine Sichtverbindung = 0; verglaste Türen / Wände = 3; kein Aufzug = 0)</v>
      </c>
      <c r="C115" s="4">
        <f t="shared" si="9"/>
        <v>112</v>
      </c>
      <c r="D115" s="233" t="s">
        <v>1786</v>
      </c>
      <c r="F115" s="222" t="str">
        <f t="shared" ca="1" si="10"/>
        <v>Größe der Aufzüge:
(Mehr als 8 Personen = 3; 4 - 8 Personen = 1; weniger als 4 = 0)</v>
      </c>
      <c r="G115" s="116"/>
      <c r="H115" s="222" t="s">
        <v>496</v>
      </c>
      <c r="I115" s="222" t="s">
        <v>2549</v>
      </c>
      <c r="J115" s="222" t="s">
        <v>3106</v>
      </c>
      <c r="K115" s="222" t="s">
        <v>5210</v>
      </c>
      <c r="L115" s="222" t="s">
        <v>2313</v>
      </c>
      <c r="M115" s="222" t="s">
        <v>3614</v>
      </c>
      <c r="N115" s="222" t="s">
        <v>4285</v>
      </c>
      <c r="O115" s="222" t="s">
        <v>4782</v>
      </c>
    </row>
    <row r="116" spans="1:15" ht="72.5" x14ac:dyDescent="0.35">
      <c r="A116" s="4">
        <f t="shared" si="7"/>
        <v>113</v>
      </c>
      <c r="B116" s="116" t="str">
        <f t="shared" ca="1" si="13"/>
        <v>Anzeige der Parkebenen:</v>
      </c>
      <c r="C116" s="4">
        <f t="shared" si="9"/>
        <v>113</v>
      </c>
      <c r="D116" s="233" t="s">
        <v>490</v>
      </c>
      <c r="F116" s="222" t="str">
        <f t="shared" ca="1" si="10"/>
        <v>Sichtverbindung zwischen dem Aufzug und Vorraum/Parkebene
(keine Sichtverbindung = 0; verglaste Türen / Wände = 3; kein Aufzug = 0)</v>
      </c>
      <c r="G116" s="116"/>
      <c r="H116" s="222" t="s">
        <v>497</v>
      </c>
      <c r="I116" s="222" t="s">
        <v>2951</v>
      </c>
      <c r="J116" s="222" t="s">
        <v>3107</v>
      </c>
      <c r="K116" s="222" t="s">
        <v>5211</v>
      </c>
      <c r="L116" s="222" t="s">
        <v>2314</v>
      </c>
      <c r="M116" s="222" t="s">
        <v>3615</v>
      </c>
      <c r="N116" s="222" t="s">
        <v>4286</v>
      </c>
      <c r="O116" s="222" t="s">
        <v>4783</v>
      </c>
    </row>
    <row r="117" spans="1:15" x14ac:dyDescent="0.35">
      <c r="A117" s="4">
        <f t="shared" si="7"/>
        <v>114</v>
      </c>
      <c r="B117" s="116" t="str">
        <f t="shared" ca="1" si="13"/>
        <v xml:space="preserve">im Aufzug: </v>
      </c>
      <c r="C117" s="4">
        <f t="shared" si="9"/>
        <v>114</v>
      </c>
      <c r="D117" s="233" t="s">
        <v>2649</v>
      </c>
      <c r="F117" s="222" t="str">
        <f t="shared" ca="1" si="10"/>
        <v>Anzeige der Parkebenen:</v>
      </c>
      <c r="G117" s="116"/>
      <c r="H117" s="222" t="s">
        <v>209</v>
      </c>
      <c r="I117" s="222" t="s">
        <v>617</v>
      </c>
      <c r="J117" s="222" t="s">
        <v>3108</v>
      </c>
      <c r="K117" s="222" t="s">
        <v>3335</v>
      </c>
      <c r="L117" s="222" t="s">
        <v>2315</v>
      </c>
      <c r="M117" s="222" t="s">
        <v>3616</v>
      </c>
      <c r="N117" s="222" t="s">
        <v>4287</v>
      </c>
      <c r="O117" s="222" t="s">
        <v>4784</v>
      </c>
    </row>
    <row r="118" spans="1:15" x14ac:dyDescent="0.35">
      <c r="A118" s="4">
        <f t="shared" si="7"/>
        <v>115</v>
      </c>
      <c r="B118" s="116" t="str">
        <f t="shared" ca="1" si="13"/>
        <v>im Vorraum zum Aufzug:</v>
      </c>
      <c r="C118" s="4">
        <f t="shared" si="9"/>
        <v>115</v>
      </c>
      <c r="D118" s="233" t="s">
        <v>2650</v>
      </c>
      <c r="F118" s="222" t="str">
        <f t="shared" ca="1" si="10"/>
        <v xml:space="preserve">im Aufzug: </v>
      </c>
      <c r="G118" s="116"/>
      <c r="H118" s="222" t="s">
        <v>210</v>
      </c>
      <c r="I118" s="222" t="s">
        <v>2952</v>
      </c>
      <c r="J118" s="222" t="s">
        <v>3109</v>
      </c>
      <c r="K118" s="222" t="s">
        <v>3336</v>
      </c>
      <c r="L118" s="222" t="s">
        <v>2186</v>
      </c>
      <c r="M118" s="222" t="s">
        <v>3617</v>
      </c>
      <c r="N118" s="222" t="s">
        <v>4288</v>
      </c>
      <c r="O118" s="222" t="s">
        <v>4785</v>
      </c>
    </row>
    <row r="119" spans="1:15" x14ac:dyDescent="0.35">
      <c r="A119" s="4">
        <f t="shared" si="7"/>
        <v>116</v>
      </c>
      <c r="B119" s="116" t="str">
        <f t="shared" ca="1" si="13"/>
        <v>Bedienelemente im Aufzug barrierefrei?
(ja = 1; nein = 0)</v>
      </c>
      <c r="C119" s="4">
        <f t="shared" si="9"/>
        <v>116</v>
      </c>
      <c r="D119" s="233" t="s">
        <v>2651</v>
      </c>
      <c r="F119" s="222" t="str">
        <f t="shared" ca="1" si="10"/>
        <v>im Vorraum zum Aufzug:</v>
      </c>
      <c r="G119" s="116"/>
      <c r="H119" s="222" t="s">
        <v>505</v>
      </c>
      <c r="I119" s="222" t="s">
        <v>2953</v>
      </c>
      <c r="J119" s="222" t="s">
        <v>3110</v>
      </c>
      <c r="K119" s="222" t="s">
        <v>3337</v>
      </c>
      <c r="L119" s="222" t="s">
        <v>2187</v>
      </c>
      <c r="M119" s="222" t="s">
        <v>3618</v>
      </c>
      <c r="N119" s="222" t="s">
        <v>4289</v>
      </c>
      <c r="O119" s="222" t="s">
        <v>4786</v>
      </c>
    </row>
    <row r="120" spans="1:15" ht="43.5" x14ac:dyDescent="0.35">
      <c r="A120" s="4">
        <f t="shared" si="7"/>
        <v>117</v>
      </c>
      <c r="B120" s="116" t="str">
        <f t="shared" ca="1" si="13"/>
        <v>Verbindungstüren zum Parkbereich:</v>
      </c>
      <c r="C120" s="4">
        <f t="shared" si="9"/>
        <v>117</v>
      </c>
      <c r="D120" s="233" t="s">
        <v>488</v>
      </c>
      <c r="F120" s="222" t="str">
        <f t="shared" ca="1" si="10"/>
        <v>Bedienelemente im Aufzug barrierefrei?
(ja = 1; nein = 0)</v>
      </c>
      <c r="G120" s="116"/>
      <c r="H120" s="222" t="s">
        <v>2878</v>
      </c>
      <c r="I120" s="222" t="s">
        <v>703</v>
      </c>
      <c r="J120" s="222" t="s">
        <v>3111</v>
      </c>
      <c r="K120" s="222" t="s">
        <v>5212</v>
      </c>
      <c r="L120" s="222" t="s">
        <v>2188</v>
      </c>
      <c r="M120" s="222" t="s">
        <v>3619</v>
      </c>
      <c r="N120" s="222" t="s">
        <v>4290</v>
      </c>
      <c r="O120" s="222" t="s">
        <v>4787</v>
      </c>
    </row>
    <row r="121" spans="1:15" ht="29" x14ac:dyDescent="0.35">
      <c r="A121" s="4">
        <f t="shared" si="7"/>
        <v>118</v>
      </c>
      <c r="B121" s="116" t="str">
        <f t="shared" ca="1" si="13"/>
        <v>Lichte Breite (&lt; 90 cm =0; &gt;= 90 cm = 2)</v>
      </c>
      <c r="C121" s="4">
        <f t="shared" si="9"/>
        <v>118</v>
      </c>
      <c r="D121" s="233" t="s">
        <v>2652</v>
      </c>
      <c r="F121" s="222" t="str">
        <f t="shared" ca="1" si="10"/>
        <v>Verbindungstüren zum Parkbereich:</v>
      </c>
      <c r="G121" s="116"/>
      <c r="H121" s="222" t="s">
        <v>499</v>
      </c>
      <c r="I121" s="222" t="s">
        <v>620</v>
      </c>
      <c r="J121" s="222" t="s">
        <v>1021</v>
      </c>
      <c r="K121" s="222" t="s">
        <v>5213</v>
      </c>
      <c r="L121" s="222" t="s">
        <v>2316</v>
      </c>
      <c r="M121" s="222" t="s">
        <v>3620</v>
      </c>
      <c r="N121" s="222" t="s">
        <v>4291</v>
      </c>
      <c r="O121" s="222" t="s">
        <v>4788</v>
      </c>
    </row>
    <row r="122" spans="1:15" x14ac:dyDescent="0.35">
      <c r="A122" s="4">
        <f t="shared" si="7"/>
        <v>119</v>
      </c>
      <c r="B122" s="116" t="str">
        <f t="shared" ca="1" si="13"/>
        <v>Fluchttüren, generell offen (ja = 2; nein = 0)</v>
      </c>
      <c r="C122" s="4">
        <f t="shared" si="9"/>
        <v>119</v>
      </c>
      <c r="D122" s="233" t="s">
        <v>2653</v>
      </c>
      <c r="F122" s="222" t="str">
        <f t="shared" ca="1" si="10"/>
        <v>Lichte Breite (&lt; 90 cm =0; &gt;= 90 cm = 2)</v>
      </c>
      <c r="G122" s="116"/>
      <c r="H122" s="222" t="s">
        <v>504</v>
      </c>
      <c r="I122" s="222" t="s">
        <v>666</v>
      </c>
      <c r="J122" s="222" t="s">
        <v>1022</v>
      </c>
      <c r="K122" s="222" t="s">
        <v>5214</v>
      </c>
      <c r="L122" s="222" t="s">
        <v>2189</v>
      </c>
      <c r="M122" s="222" t="s">
        <v>3621</v>
      </c>
      <c r="N122" s="222" t="s">
        <v>4292</v>
      </c>
      <c r="O122" s="222" t="s">
        <v>4789</v>
      </c>
    </row>
    <row r="123" spans="1:15" ht="29" x14ac:dyDescent="0.35">
      <c r="A123" s="4">
        <f t="shared" si="7"/>
        <v>120</v>
      </c>
      <c r="B123" s="116" t="str">
        <f t="shared" ca="1" si="13"/>
        <v>Sichtverbindung (Glastüren / -wände = 3; kein Glas = 0)</v>
      </c>
      <c r="C123" s="4">
        <f t="shared" si="9"/>
        <v>120</v>
      </c>
      <c r="D123" s="233" t="s">
        <v>2654</v>
      </c>
      <c r="F123" s="222" t="str">
        <f t="shared" ca="1" si="10"/>
        <v>Fluchttüren, generell offen (ja = 2; nein = 0)</v>
      </c>
      <c r="G123" s="116"/>
      <c r="H123" s="222" t="s">
        <v>248</v>
      </c>
      <c r="I123" s="222" t="s">
        <v>2954</v>
      </c>
      <c r="J123" s="222" t="s">
        <v>3112</v>
      </c>
      <c r="K123" s="222" t="s">
        <v>5215</v>
      </c>
      <c r="L123" s="222" t="s">
        <v>2317</v>
      </c>
      <c r="M123" s="222" t="s">
        <v>3622</v>
      </c>
      <c r="N123" s="222" t="s">
        <v>4293</v>
      </c>
      <c r="O123" s="222" t="s">
        <v>4790</v>
      </c>
    </row>
    <row r="124" spans="1:15" ht="43.5" x14ac:dyDescent="0.35">
      <c r="A124" s="4">
        <f t="shared" si="7"/>
        <v>121</v>
      </c>
      <c r="B124" s="116" t="str">
        <f t="shared" ca="1" si="13"/>
        <v>Treppenhäuser (Sichtbarkeit und Orientierung)</v>
      </c>
      <c r="C124" s="4">
        <f t="shared" si="9"/>
        <v>121</v>
      </c>
      <c r="D124" s="233" t="s">
        <v>2655</v>
      </c>
      <c r="F124" s="222" t="str">
        <f t="shared" ca="1" si="10"/>
        <v>Sichtverbindung (Glastüren / -wände = 3; kein Glas = 0)</v>
      </c>
      <c r="G124" s="116"/>
      <c r="H124" s="222" t="s">
        <v>249</v>
      </c>
      <c r="I124" s="222" t="s">
        <v>704</v>
      </c>
      <c r="J124" s="222" t="s">
        <v>3113</v>
      </c>
      <c r="K124" s="222" t="s">
        <v>5216</v>
      </c>
      <c r="L124" s="222" t="s">
        <v>2318</v>
      </c>
      <c r="M124" s="222" t="s">
        <v>3623</v>
      </c>
      <c r="N124" s="222" t="s">
        <v>4294</v>
      </c>
      <c r="O124" s="222" t="s">
        <v>4791</v>
      </c>
    </row>
    <row r="125" spans="1:15" ht="29" x14ac:dyDescent="0.35">
      <c r="A125" s="4">
        <f t="shared" si="7"/>
        <v>122</v>
      </c>
      <c r="B125" s="116" t="str">
        <f t="shared" ca="1" si="13"/>
        <v>Einfach Auffindbarkeit (ja = 1; nein = 0; irrelvant = 1)</v>
      </c>
      <c r="C125" s="4">
        <f t="shared" si="9"/>
        <v>122</v>
      </c>
      <c r="D125" s="233" t="s">
        <v>2656</v>
      </c>
      <c r="F125" s="222" t="str">
        <f t="shared" ca="1" si="10"/>
        <v>Treppenhäuser (Sichtbarkeit und Orientierung)</v>
      </c>
      <c r="G125" s="116"/>
      <c r="H125" s="222" t="s">
        <v>500</v>
      </c>
      <c r="I125" s="222" t="s">
        <v>623</v>
      </c>
      <c r="J125" s="222" t="s">
        <v>3114</v>
      </c>
      <c r="K125" s="222" t="s">
        <v>5217</v>
      </c>
      <c r="L125" s="222" t="s">
        <v>2319</v>
      </c>
      <c r="M125" s="222" t="s">
        <v>3624</v>
      </c>
      <c r="N125" s="222" t="s">
        <v>4295</v>
      </c>
      <c r="O125" s="222" t="s">
        <v>4792</v>
      </c>
    </row>
    <row r="126" spans="1:15" ht="29" x14ac:dyDescent="0.35">
      <c r="A126" s="4">
        <f t="shared" si="7"/>
        <v>123</v>
      </c>
      <c r="B126" s="116" t="str">
        <f t="shared" ca="1" si="13"/>
        <v>Geschosskennzeichnung (ja = 1; nein = 0; unzutreffend = 1)</v>
      </c>
      <c r="C126" s="4">
        <f t="shared" si="9"/>
        <v>123</v>
      </c>
      <c r="D126" s="233" t="s">
        <v>2657</v>
      </c>
      <c r="F126" s="222" t="str">
        <f t="shared" ca="1" si="10"/>
        <v>Einfach Auffindbarkeit (ja = 1; nein = 0; irrelvant = 1)</v>
      </c>
      <c r="G126" s="116"/>
      <c r="H126" s="222" t="s">
        <v>212</v>
      </c>
      <c r="I126" s="222" t="s">
        <v>2955</v>
      </c>
      <c r="J126" s="222" t="s">
        <v>3115</v>
      </c>
      <c r="K126" s="222" t="s">
        <v>5218</v>
      </c>
      <c r="L126" s="222" t="s">
        <v>2191</v>
      </c>
      <c r="M126" s="222" t="s">
        <v>3625</v>
      </c>
      <c r="N126" s="222" t="s">
        <v>4296</v>
      </c>
      <c r="O126" s="222" t="s">
        <v>4793</v>
      </c>
    </row>
    <row r="127" spans="1:15" ht="29" x14ac:dyDescent="0.35">
      <c r="A127" s="4">
        <f t="shared" si="7"/>
        <v>124</v>
      </c>
      <c r="B127" s="116" t="str">
        <f t="shared" ca="1" si="13"/>
        <v>Treppen (inkl. verbesserter Sichtbarkeit der Treppenstufen)</v>
      </c>
      <c r="C127" s="4">
        <f t="shared" si="9"/>
        <v>124</v>
      </c>
      <c r="D127" s="233" t="s">
        <v>2658</v>
      </c>
      <c r="F127" s="222" t="str">
        <f t="shared" ca="1" si="10"/>
        <v>Geschosskennzeichnung (ja = 1; nein = 0; unzutreffend = 1)</v>
      </c>
      <c r="G127" s="116"/>
      <c r="H127" s="222" t="s">
        <v>501</v>
      </c>
      <c r="I127" s="222" t="s">
        <v>2956</v>
      </c>
      <c r="J127" s="222" t="s">
        <v>3116</v>
      </c>
      <c r="K127" s="222" t="s">
        <v>5219</v>
      </c>
      <c r="L127" s="222" t="s">
        <v>2320</v>
      </c>
      <c r="M127" s="222" t="s">
        <v>3626</v>
      </c>
      <c r="N127" s="222" t="s">
        <v>4297</v>
      </c>
      <c r="O127" s="222" t="s">
        <v>4794</v>
      </c>
    </row>
    <row r="128" spans="1:15" ht="29" x14ac:dyDescent="0.35">
      <c r="A128" s="4">
        <f t="shared" si="7"/>
        <v>125</v>
      </c>
      <c r="B128" s="118" t="str">
        <f t="shared" ca="1" si="13"/>
        <v>Breite (&lt; 1,5 m = 0; &gt; 1,5 m = 2)</v>
      </c>
      <c r="C128" s="4">
        <f t="shared" si="9"/>
        <v>125</v>
      </c>
      <c r="D128" s="233" t="s">
        <v>2659</v>
      </c>
      <c r="F128" s="222" t="str">
        <f t="shared" ca="1" si="10"/>
        <v>Treppen (inkl. verbesserter Sichtbarkeit der Treppenstufen)</v>
      </c>
      <c r="G128" s="118"/>
      <c r="H128" s="222" t="s">
        <v>1305</v>
      </c>
      <c r="I128" s="222" t="s">
        <v>2957</v>
      </c>
      <c r="J128" s="222" t="s">
        <v>1029</v>
      </c>
      <c r="K128" s="222" t="s">
        <v>5220</v>
      </c>
      <c r="L128" s="222" t="s">
        <v>2192</v>
      </c>
      <c r="M128" s="222" t="s">
        <v>3627</v>
      </c>
      <c r="N128" s="222" t="s">
        <v>4298</v>
      </c>
      <c r="O128" s="222" t="s">
        <v>4795</v>
      </c>
    </row>
    <row r="129" spans="1:15" x14ac:dyDescent="0.35">
      <c r="A129" s="4">
        <f t="shared" si="7"/>
        <v>126</v>
      </c>
      <c r="B129" s="119" t="str">
        <f t="shared" ca="1" si="13"/>
        <v>Handläufe (keine = 0; einseitig = 1; beidseitig = 2)</v>
      </c>
      <c r="C129" s="4">
        <f t="shared" si="9"/>
        <v>126</v>
      </c>
      <c r="D129" s="233" t="s">
        <v>2660</v>
      </c>
      <c r="F129" s="225" t="str">
        <f t="shared" ca="1" si="10"/>
        <v>Breite (&lt; 1,5 m = 0; &gt; 1,5 m = 2)</v>
      </c>
      <c r="G129" s="119"/>
      <c r="H129" s="225" t="s">
        <v>253</v>
      </c>
      <c r="I129" s="225" t="s">
        <v>625</v>
      </c>
      <c r="J129" s="225" t="s">
        <v>1030</v>
      </c>
      <c r="K129" s="225" t="s">
        <v>5221</v>
      </c>
      <c r="L129" s="225" t="s">
        <v>2193</v>
      </c>
      <c r="M129" s="225" t="s">
        <v>3628</v>
      </c>
      <c r="N129" s="225" t="s">
        <v>4299</v>
      </c>
      <c r="O129" s="225" t="s">
        <v>4796</v>
      </c>
    </row>
    <row r="130" spans="1:15" ht="25" x14ac:dyDescent="0.35">
      <c r="A130" s="4">
        <f t="shared" si="7"/>
        <v>127</v>
      </c>
      <c r="B130" s="120" t="str">
        <f t="shared" ca="1" si="13"/>
        <v>Erhöhte Sichtbarkeit der Treppenstufen für Personen mit eingeschränkter Sehkraft (ja = 2; nein = 0)</v>
      </c>
      <c r="C130" s="4">
        <f t="shared" si="9"/>
        <v>127</v>
      </c>
      <c r="D130" s="233" t="s">
        <v>2661</v>
      </c>
      <c r="F130" s="226" t="str">
        <f t="shared" ca="1" si="10"/>
        <v>Handläufe (keine = 0; einseitig = 1; beidseitig = 2)</v>
      </c>
      <c r="G130" s="120"/>
      <c r="H130" s="226" t="s">
        <v>254</v>
      </c>
      <c r="I130" s="226" t="s">
        <v>707</v>
      </c>
      <c r="J130" s="226" t="s">
        <v>3117</v>
      </c>
      <c r="K130" s="226" t="s">
        <v>3338</v>
      </c>
      <c r="L130" s="226" t="s">
        <v>2194</v>
      </c>
      <c r="M130" s="226" t="s">
        <v>3629</v>
      </c>
      <c r="N130" s="226" t="s">
        <v>4300</v>
      </c>
      <c r="O130" s="226" t="s">
        <v>4797</v>
      </c>
    </row>
    <row r="131" spans="1:15" ht="56" x14ac:dyDescent="0.35">
      <c r="A131" s="4">
        <f t="shared" ref="A131:A176" si="14">C131</f>
        <v>128</v>
      </c>
      <c r="B131" s="118" t="str">
        <f t="shared" ca="1" si="13"/>
        <v>Rutschfeste Beschichtung/Oberfläche der Treppenstufen (ja = 2; nein = 0)</v>
      </c>
      <c r="C131" s="4">
        <f t="shared" si="9"/>
        <v>128</v>
      </c>
      <c r="D131" s="233" t="s">
        <v>2662</v>
      </c>
      <c r="F131" s="227" t="str">
        <f t="shared" ca="1" si="10"/>
        <v>Erhöhte Sichtbarkeit der Treppenstufen für Personen mit eingeschränkter Sehkraft (ja = 2; nein = 0)</v>
      </c>
      <c r="G131" s="118"/>
      <c r="H131" s="227" t="s">
        <v>255</v>
      </c>
      <c r="I131" s="227" t="s">
        <v>708</v>
      </c>
      <c r="J131" s="227" t="s">
        <v>3118</v>
      </c>
      <c r="K131" s="227" t="s">
        <v>5222</v>
      </c>
      <c r="L131" s="227" t="s">
        <v>2195</v>
      </c>
      <c r="M131" s="227" t="s">
        <v>3630</v>
      </c>
      <c r="N131" s="227" t="s">
        <v>4301</v>
      </c>
      <c r="O131" s="227" t="s">
        <v>4798</v>
      </c>
    </row>
    <row r="132" spans="1:15" ht="25" x14ac:dyDescent="0.35">
      <c r="A132" s="4">
        <f t="shared" si="14"/>
        <v>129</v>
      </c>
      <c r="B132" s="121" t="str">
        <f t="shared" ca="1" si="13"/>
        <v>Öffnungen in den Treppenhauswänden (Fenster / Gitter nach außen oder zu den Parkebenen = 2; nein = 0)</v>
      </c>
      <c r="C132" s="4">
        <f t="shared" si="9"/>
        <v>129</v>
      </c>
      <c r="D132" s="233" t="s">
        <v>2663</v>
      </c>
      <c r="F132" s="225" t="str">
        <f t="shared" ca="1" si="10"/>
        <v>Rutschfeste Beschichtung/Oberfläche der Treppenstufen (ja = 2; nein = 0)</v>
      </c>
      <c r="G132" s="121"/>
      <c r="H132" s="225" t="s">
        <v>256</v>
      </c>
      <c r="I132" s="225" t="s">
        <v>709</v>
      </c>
      <c r="J132" s="225" t="s">
        <v>3119</v>
      </c>
      <c r="K132" s="225" t="s">
        <v>5223</v>
      </c>
      <c r="L132" s="225" t="s">
        <v>2196</v>
      </c>
      <c r="M132" s="225" t="s">
        <v>3631</v>
      </c>
      <c r="N132" s="225" t="s">
        <v>4302</v>
      </c>
      <c r="O132" s="225" t="s">
        <v>4799</v>
      </c>
    </row>
    <row r="133" spans="1:15" ht="50" x14ac:dyDescent="0.35">
      <c r="A133" s="4">
        <f t="shared" si="14"/>
        <v>130</v>
      </c>
      <c r="B133" s="121" t="e">
        <f>IF(ISBLANK(VLOOKUP(A133,$C$4:$T$9877,1+$A$1)),#REF!,VLOOKUP(A133,$C$4:$T$9877,1+$A$1))</f>
        <v>#REF!</v>
      </c>
      <c r="C133" s="4">
        <f t="shared" si="9"/>
        <v>130</v>
      </c>
      <c r="D133" s="233" t="s">
        <v>493</v>
      </c>
      <c r="F133" s="229" t="str">
        <f t="shared" ca="1" si="10"/>
        <v>Öffnungen in den Treppenhauswänden (Fenster / Gitter nach außen oder zu den Parkebenen = 2; nein = 0)</v>
      </c>
      <c r="G133" s="121"/>
      <c r="H133" s="229" t="s">
        <v>437</v>
      </c>
      <c r="I133" s="229" t="s">
        <v>710</v>
      </c>
      <c r="J133" s="229" t="s">
        <v>3120</v>
      </c>
      <c r="K133" s="229" t="s">
        <v>5224</v>
      </c>
      <c r="L133" s="229" t="s">
        <v>2321</v>
      </c>
      <c r="M133" s="229" t="s">
        <v>3632</v>
      </c>
      <c r="N133" s="229" t="s">
        <v>4303</v>
      </c>
      <c r="O133" s="229" t="s">
        <v>4800</v>
      </c>
    </row>
    <row r="134" spans="1:15" x14ac:dyDescent="0.35">
      <c r="A134" s="4">
        <f t="shared" si="14"/>
        <v>131</v>
      </c>
      <c r="B134" s="116" t="e">
        <f>IF(ISBLANK(VLOOKUP(A134,$C$4:$T$9877,1+$A$1)),#REF!,VLOOKUP(A134,$C$4:$T$9877,1+$A$1))</f>
        <v>#REF!</v>
      </c>
      <c r="C134" s="4">
        <f t="shared" ref="C134:C188" si="15">+C133+1</f>
        <v>131</v>
      </c>
      <c r="D134" s="233">
        <v>7</v>
      </c>
      <c r="F134" s="220" t="str">
        <f t="shared" ca="1" si="10"/>
        <v>Sicherheitsausstattung</v>
      </c>
      <c r="G134" s="116"/>
      <c r="H134" s="220" t="s">
        <v>182</v>
      </c>
      <c r="I134" s="220" t="s">
        <v>626</v>
      </c>
      <c r="J134" s="220" t="s">
        <v>3121</v>
      </c>
      <c r="K134" s="220" t="s">
        <v>3339</v>
      </c>
      <c r="L134" s="220" t="s">
        <v>2197</v>
      </c>
      <c r="M134" s="220" t="s">
        <v>3633</v>
      </c>
      <c r="N134" s="220" t="s">
        <v>4304</v>
      </c>
      <c r="O134" s="220" t="s">
        <v>4801</v>
      </c>
    </row>
    <row r="135" spans="1:15" ht="43.5" x14ac:dyDescent="0.35">
      <c r="A135" s="4">
        <f t="shared" si="14"/>
        <v>132</v>
      </c>
      <c r="B135" s="118" t="str">
        <f t="shared" ref="B135:B152" ca="1" si="16">IF(ISBLANK(VLOOKUP(A135,$C$4:$T$9877,1+$A$1)),F136,VLOOKUP(A135,$C$4:$T$9877,1+$A$1))</f>
        <v>Kontrollpersonal (vor Ort oder per Fernüberwachung)
ja = 5; nein = 0</v>
      </c>
      <c r="C135" s="4">
        <f t="shared" si="15"/>
        <v>132</v>
      </c>
      <c r="D135" s="233" t="s">
        <v>506</v>
      </c>
      <c r="F135" s="222" t="str">
        <f t="shared" ca="1" si="10"/>
        <v>Videoüberwachung mit Hinweis an den Eingängen = 3; keine Videoüberwachung = 0</v>
      </c>
      <c r="G135" s="118"/>
      <c r="H135" s="222" t="s">
        <v>93</v>
      </c>
      <c r="I135" s="222" t="s">
        <v>711</v>
      </c>
      <c r="J135" s="222" t="s">
        <v>3122</v>
      </c>
      <c r="K135" s="222" t="s">
        <v>3340</v>
      </c>
      <c r="L135" s="222" t="s">
        <v>2199</v>
      </c>
      <c r="M135" s="222" t="s">
        <v>3634</v>
      </c>
      <c r="N135" s="222" t="s">
        <v>4305</v>
      </c>
      <c r="O135" s="222" t="s">
        <v>4802</v>
      </c>
    </row>
    <row r="136" spans="1:15" ht="37.5" x14ac:dyDescent="0.35">
      <c r="A136" s="4">
        <f t="shared" si="14"/>
        <v>133</v>
      </c>
      <c r="B136" s="121" t="str">
        <f t="shared" ca="1" si="16"/>
        <v xml:space="preserve">Videoüberwachung bei: </v>
      </c>
      <c r="C136" s="4">
        <f t="shared" si="15"/>
        <v>133</v>
      </c>
      <c r="D136" s="233" t="s">
        <v>507</v>
      </c>
      <c r="F136" s="225" t="str">
        <f t="shared" ca="1" si="10"/>
        <v>Kontrollpersonal (vor Ort oder per Fernüberwachung)
ja = 5; nein = 0</v>
      </c>
      <c r="G136" s="121"/>
      <c r="H136" s="225" t="s">
        <v>309</v>
      </c>
      <c r="I136" s="225" t="s">
        <v>712</v>
      </c>
      <c r="J136" s="225" t="s">
        <v>3123</v>
      </c>
      <c r="K136" s="225" t="s">
        <v>5225</v>
      </c>
      <c r="L136" s="225" t="s">
        <v>2322</v>
      </c>
      <c r="M136" s="225" t="s">
        <v>3635</v>
      </c>
      <c r="N136" s="225" t="s">
        <v>4306</v>
      </c>
      <c r="O136" s="225" t="s">
        <v>4803</v>
      </c>
    </row>
    <row r="137" spans="1:15" x14ac:dyDescent="0.35">
      <c r="A137" s="4">
        <f t="shared" si="14"/>
        <v>134</v>
      </c>
      <c r="B137" s="121" t="str">
        <f t="shared" ca="1" si="16"/>
        <v>Einfahrt: ja = 1; nein = 0</v>
      </c>
      <c r="C137" s="4">
        <f t="shared" si="15"/>
        <v>134</v>
      </c>
      <c r="D137" s="233" t="s">
        <v>2664</v>
      </c>
      <c r="F137" s="228" t="str">
        <f t="shared" ca="1" si="10"/>
        <v xml:space="preserve">Videoüberwachung bei: </v>
      </c>
      <c r="G137" s="121"/>
      <c r="H137" s="228" t="s">
        <v>290</v>
      </c>
      <c r="I137" s="228" t="s">
        <v>627</v>
      </c>
      <c r="J137" s="228" t="s">
        <v>3124</v>
      </c>
      <c r="K137" s="228" t="s">
        <v>3341</v>
      </c>
      <c r="L137" s="228" t="s">
        <v>2200</v>
      </c>
      <c r="M137" s="228" t="s">
        <v>3636</v>
      </c>
      <c r="N137" s="228" t="s">
        <v>4307</v>
      </c>
      <c r="O137" s="228" t="s">
        <v>4804</v>
      </c>
    </row>
    <row r="138" spans="1:15" x14ac:dyDescent="0.35">
      <c r="A138" s="4">
        <f t="shared" si="14"/>
        <v>135</v>
      </c>
      <c r="B138" s="121" t="str">
        <f t="shared" ca="1" si="16"/>
        <v>Ausfahrt: ja = 1; nein = 0</v>
      </c>
      <c r="C138" s="4">
        <f t="shared" si="15"/>
        <v>135</v>
      </c>
      <c r="D138" s="233" t="s">
        <v>2665</v>
      </c>
      <c r="F138" s="228" t="str">
        <f t="shared" ref="F138:F212" ca="1" si="17">OFFSET(G138,0,$C$1)</f>
        <v>Einfahrt: ja = 1; nein = 0</v>
      </c>
      <c r="G138" s="121"/>
      <c r="H138" s="228" t="s">
        <v>282</v>
      </c>
      <c r="I138" s="228" t="s">
        <v>628</v>
      </c>
      <c r="J138" s="228" t="s">
        <v>3125</v>
      </c>
      <c r="K138" s="228" t="s">
        <v>3342</v>
      </c>
      <c r="L138" s="228" t="s">
        <v>2323</v>
      </c>
      <c r="M138" s="228" t="s">
        <v>3637</v>
      </c>
      <c r="N138" s="228" t="s">
        <v>4308</v>
      </c>
      <c r="O138" s="228" t="s">
        <v>4805</v>
      </c>
    </row>
    <row r="139" spans="1:15" x14ac:dyDescent="0.35">
      <c r="A139" s="4">
        <f t="shared" si="14"/>
        <v>136</v>
      </c>
      <c r="B139" s="118" t="str">
        <f t="shared" ca="1" si="16"/>
        <v>Kassenautomaten: ja = 1; nein = 0</v>
      </c>
      <c r="C139" s="4">
        <f t="shared" si="15"/>
        <v>136</v>
      </c>
      <c r="D139" s="233" t="s">
        <v>2666</v>
      </c>
      <c r="F139" s="228" t="str">
        <f t="shared" ca="1" si="17"/>
        <v>Ausfahrt: ja = 1; nein = 0</v>
      </c>
      <c r="G139" s="118"/>
      <c r="H139" s="228" t="s">
        <v>283</v>
      </c>
      <c r="I139" s="228" t="s">
        <v>629</v>
      </c>
      <c r="J139" s="228" t="s">
        <v>3126</v>
      </c>
      <c r="K139" s="228" t="s">
        <v>3343</v>
      </c>
      <c r="L139" s="228" t="s">
        <v>2324</v>
      </c>
      <c r="M139" s="228" t="s">
        <v>3638</v>
      </c>
      <c r="N139" s="228" t="s">
        <v>4309</v>
      </c>
      <c r="O139" s="228" t="s">
        <v>4806</v>
      </c>
    </row>
    <row r="140" spans="1:15" x14ac:dyDescent="0.35">
      <c r="A140" s="4">
        <f t="shared" si="14"/>
        <v>137</v>
      </c>
      <c r="B140" s="119" t="str">
        <f t="shared" ca="1" si="16"/>
        <v>Aufzugsräume, jedes Ebene: ja = 1; nein = 0</v>
      </c>
      <c r="C140" s="4">
        <f t="shared" si="15"/>
        <v>137</v>
      </c>
      <c r="D140" s="233" t="s">
        <v>2667</v>
      </c>
      <c r="F140" s="225" t="str">
        <f t="shared" ca="1" si="17"/>
        <v>Kassenautomaten: ja = 1; nein = 0</v>
      </c>
      <c r="G140" s="119"/>
      <c r="H140" s="225" t="s">
        <v>284</v>
      </c>
      <c r="I140" s="225" t="s">
        <v>630</v>
      </c>
      <c r="J140" s="225" t="s">
        <v>1040</v>
      </c>
      <c r="K140" s="225" t="s">
        <v>5226</v>
      </c>
      <c r="L140" s="225" t="s">
        <v>2201</v>
      </c>
      <c r="M140" s="225" t="s">
        <v>3639</v>
      </c>
      <c r="N140" s="225" t="s">
        <v>4310</v>
      </c>
      <c r="O140" s="225" t="s">
        <v>4807</v>
      </c>
    </row>
    <row r="141" spans="1:15" ht="25" x14ac:dyDescent="0.35">
      <c r="A141" s="4">
        <f t="shared" si="14"/>
        <v>138</v>
      </c>
      <c r="B141" s="119" t="str">
        <f t="shared" ca="1" si="16"/>
        <v>Treppenhäuser, jede Ebene: ja = 1; nein = 0</v>
      </c>
      <c r="C141" s="4">
        <f t="shared" si="15"/>
        <v>138</v>
      </c>
      <c r="D141" s="233" t="s">
        <v>2668</v>
      </c>
      <c r="F141" s="226" t="str">
        <f t="shared" ca="1" si="17"/>
        <v>Aufzugsräume, jedes Ebene: ja = 1; nein = 0</v>
      </c>
      <c r="G141" s="119"/>
      <c r="H141" s="226" t="s">
        <v>285</v>
      </c>
      <c r="I141" s="226" t="s">
        <v>631</v>
      </c>
      <c r="J141" s="226" t="s">
        <v>3127</v>
      </c>
      <c r="K141" s="226" t="s">
        <v>5227</v>
      </c>
      <c r="L141" s="226" t="s">
        <v>2202</v>
      </c>
      <c r="M141" s="226" t="s">
        <v>3640</v>
      </c>
      <c r="N141" s="226" t="s">
        <v>4311</v>
      </c>
      <c r="O141" s="226" t="s">
        <v>4808</v>
      </c>
    </row>
    <row r="142" spans="1:15" ht="25" x14ac:dyDescent="0.35">
      <c r="A142" s="4">
        <f t="shared" si="14"/>
        <v>139</v>
      </c>
      <c r="B142" s="118" t="str">
        <f t="shared" ca="1" si="16"/>
        <v>Fußgängerzugang: ja = 1; nein = 0</v>
      </c>
      <c r="C142" s="4">
        <f t="shared" si="15"/>
        <v>139</v>
      </c>
      <c r="D142" s="233" t="s">
        <v>2669</v>
      </c>
      <c r="F142" s="226" t="str">
        <f t="shared" ca="1" si="17"/>
        <v>Treppenhäuser, jede Ebene: ja = 1; nein = 0</v>
      </c>
      <c r="G142" s="118"/>
      <c r="H142" s="226" t="s">
        <v>286</v>
      </c>
      <c r="I142" s="226" t="s">
        <v>632</v>
      </c>
      <c r="J142" s="226" t="s">
        <v>3128</v>
      </c>
      <c r="K142" s="226" t="s">
        <v>5228</v>
      </c>
      <c r="L142" s="226" t="s">
        <v>2203</v>
      </c>
      <c r="M142" s="226" t="s">
        <v>3641</v>
      </c>
      <c r="N142" s="226" t="s">
        <v>4312</v>
      </c>
      <c r="O142" s="226" t="s">
        <v>4809</v>
      </c>
    </row>
    <row r="143" spans="1:15" x14ac:dyDescent="0.35">
      <c r="A143" s="4">
        <f t="shared" si="14"/>
        <v>140</v>
      </c>
      <c r="B143" s="118" t="str">
        <f t="shared" ca="1" si="16"/>
        <v>Überwiegender Parkbereich (65%): ja = 3; nein = 0</v>
      </c>
      <c r="C143" s="4">
        <f t="shared" si="15"/>
        <v>140</v>
      </c>
      <c r="D143" s="233" t="s">
        <v>2670</v>
      </c>
      <c r="F143" s="225" t="str">
        <f t="shared" ca="1" si="17"/>
        <v>Fußgängerzugang: ja = 1; nein = 0</v>
      </c>
      <c r="G143" s="118"/>
      <c r="H143" s="225" t="s">
        <v>287</v>
      </c>
      <c r="I143" s="225" t="s">
        <v>633</v>
      </c>
      <c r="J143" s="225" t="s">
        <v>1043</v>
      </c>
      <c r="K143" s="225" t="s">
        <v>5229</v>
      </c>
      <c r="L143" s="225" t="s">
        <v>2204</v>
      </c>
      <c r="M143" s="225" t="s">
        <v>3642</v>
      </c>
      <c r="N143" s="225" t="s">
        <v>4313</v>
      </c>
      <c r="O143" s="225" t="s">
        <v>4810</v>
      </c>
    </row>
    <row r="144" spans="1:15" ht="25" x14ac:dyDescent="0.35">
      <c r="A144" s="4">
        <f t="shared" si="14"/>
        <v>141</v>
      </c>
      <c r="B144" s="118" t="str">
        <f t="shared" ca="1" si="16"/>
        <v>Rampen: ja = 1; nein = 0</v>
      </c>
      <c r="C144" s="4">
        <f t="shared" si="15"/>
        <v>141</v>
      </c>
      <c r="D144" s="233" t="s">
        <v>2671</v>
      </c>
      <c r="F144" s="225" t="str">
        <f t="shared" ca="1" si="17"/>
        <v>Überwiegender Parkbereich (65%): ja = 3; nein = 0</v>
      </c>
      <c r="G144" s="118"/>
      <c r="H144" s="225" t="s">
        <v>288</v>
      </c>
      <c r="I144" s="225" t="s">
        <v>634</v>
      </c>
      <c r="J144" s="225" t="s">
        <v>1044</v>
      </c>
      <c r="K144" s="225" t="s">
        <v>3344</v>
      </c>
      <c r="L144" s="225" t="s">
        <v>2205</v>
      </c>
      <c r="M144" s="225" t="s">
        <v>3643</v>
      </c>
      <c r="N144" s="225" t="s">
        <v>4314</v>
      </c>
      <c r="O144" s="225" t="s">
        <v>4811</v>
      </c>
    </row>
    <row r="145" spans="1:16" x14ac:dyDescent="0.35">
      <c r="A145" s="4">
        <f t="shared" si="14"/>
        <v>142</v>
      </c>
      <c r="B145" s="118" t="str">
        <f t="shared" ca="1" si="16"/>
        <v>Kontaktaufnahme zu Personal via:</v>
      </c>
      <c r="C145" s="4">
        <f t="shared" si="15"/>
        <v>142</v>
      </c>
      <c r="D145" s="233" t="s">
        <v>2672</v>
      </c>
      <c r="F145" s="225" t="str">
        <f t="shared" ca="1" si="17"/>
        <v>Rampen: ja = 1; nein = 0</v>
      </c>
      <c r="G145" s="118"/>
      <c r="H145" s="225" t="s">
        <v>2883</v>
      </c>
      <c r="I145" s="225" t="s">
        <v>635</v>
      </c>
      <c r="J145" s="225" t="s">
        <v>1045</v>
      </c>
      <c r="K145" s="225" t="s">
        <v>3345</v>
      </c>
      <c r="L145" s="225" t="s">
        <v>2326</v>
      </c>
      <c r="M145" s="225" t="s">
        <v>3644</v>
      </c>
      <c r="N145" s="225" t="s">
        <v>4315</v>
      </c>
      <c r="O145" s="225" t="s">
        <v>4812</v>
      </c>
    </row>
    <row r="146" spans="1:16" x14ac:dyDescent="0.35">
      <c r="A146" s="4">
        <f t="shared" si="14"/>
        <v>143</v>
      </c>
      <c r="B146" s="118" t="str">
        <f t="shared" ca="1" si="16"/>
        <v>Sprechstellen an den Kassenautomaten und/oder gesicherten Zugängen (24/7 = 3; zu den Öffnungszeiten (wenn nicht 24/7) = 2; teilweise/gar nicht = 0)</v>
      </c>
      <c r="C146" s="4">
        <f t="shared" si="15"/>
        <v>143</v>
      </c>
      <c r="D146" s="233" t="s">
        <v>2673</v>
      </c>
      <c r="F146" s="225" t="str">
        <f t="shared" ca="1" si="17"/>
        <v>Kontaktaufnahme zu Personal via:</v>
      </c>
      <c r="G146" s="118"/>
      <c r="H146" s="225" t="s">
        <v>292</v>
      </c>
      <c r="I146" s="225" t="s">
        <v>636</v>
      </c>
      <c r="J146" s="225" t="s">
        <v>3129</v>
      </c>
      <c r="K146" s="225" t="s">
        <v>5230</v>
      </c>
      <c r="L146" s="225" t="s">
        <v>2206</v>
      </c>
      <c r="M146" s="225" t="s">
        <v>3645</v>
      </c>
      <c r="N146" s="225" t="s">
        <v>4316</v>
      </c>
      <c r="O146" s="225" t="s">
        <v>4813</v>
      </c>
    </row>
    <row r="147" spans="1:16" ht="62.5" x14ac:dyDescent="0.35">
      <c r="A147" s="4">
        <f t="shared" si="14"/>
        <v>144</v>
      </c>
      <c r="B147" s="118" t="str">
        <f t="shared" ca="1" si="16"/>
        <v>Notrufsystem im Parkbereich (24/7 = 3; zu den Öffnungszeiten (wenn nicht 24/7) = 2; teilweise/gar nicht = 0)</v>
      </c>
      <c r="C147" s="4">
        <f t="shared" si="15"/>
        <v>144</v>
      </c>
      <c r="D147" s="233" t="s">
        <v>2674</v>
      </c>
      <c r="F147" s="225" t="str">
        <f t="shared" ca="1" si="17"/>
        <v>Sprechstellen an den Kassenautomaten und/oder gesicherten Zugängen (24/7 = 3; zu den Öffnungszeiten (wenn nicht 24/7) = 2; teilweise/gar nicht = 0)</v>
      </c>
      <c r="G147" s="118"/>
      <c r="H147" s="225" t="s">
        <v>291</v>
      </c>
      <c r="I147" s="225" t="s">
        <v>713</v>
      </c>
      <c r="J147" s="225" t="s">
        <v>3130</v>
      </c>
      <c r="K147" s="225" t="s">
        <v>5231</v>
      </c>
      <c r="L147" s="225" t="s">
        <v>2207</v>
      </c>
      <c r="M147" s="225" t="s">
        <v>3646</v>
      </c>
      <c r="N147" s="225" t="s">
        <v>4317</v>
      </c>
      <c r="O147" s="225" t="s">
        <v>4814</v>
      </c>
    </row>
    <row r="148" spans="1:16" ht="50" x14ac:dyDescent="0.35">
      <c r="A148" s="4">
        <f t="shared" si="14"/>
        <v>145</v>
      </c>
      <c r="B148" s="119" t="str">
        <f t="shared" ca="1" si="16"/>
        <v>Ausgewiesenes Parkhauspersonal ist präsent und patroulliert durch die Parkeinrichtung (24/7 = 3; zu den Öffnungszeiten (wenn nicht 24/7) = 2; teilweise = 1; gar nicht = 0)</v>
      </c>
      <c r="C148" s="4">
        <f t="shared" si="15"/>
        <v>145</v>
      </c>
      <c r="D148" s="233" t="s">
        <v>2675</v>
      </c>
      <c r="F148" s="225" t="str">
        <f t="shared" ca="1" si="17"/>
        <v>Notrufsystem im Parkbereich (24/7 = 3; zu den Öffnungszeiten (wenn nicht 24/7) = 2; teilweise/gar nicht = 0)</v>
      </c>
      <c r="G148" s="119"/>
      <c r="H148" s="225" t="s">
        <v>293</v>
      </c>
      <c r="I148" s="225" t="s">
        <v>714</v>
      </c>
      <c r="J148" s="225" t="s">
        <v>3131</v>
      </c>
      <c r="K148" s="225" t="s">
        <v>3346</v>
      </c>
      <c r="L148" s="225" t="s">
        <v>2327</v>
      </c>
      <c r="M148" s="225" t="s">
        <v>3647</v>
      </c>
      <c r="N148" s="225" t="s">
        <v>4318</v>
      </c>
      <c r="O148" s="225" t="s">
        <v>4815</v>
      </c>
    </row>
    <row r="149" spans="1:16" ht="75" x14ac:dyDescent="0.35">
      <c r="A149" s="4">
        <f t="shared" si="14"/>
        <v>146</v>
      </c>
      <c r="B149" s="119" t="str">
        <f t="shared" ca="1" si="16"/>
        <v>Verschließbare Ein-/Ausfahrten:
(geschlossene Tore/Rollgitter außerhalb der Öffnungszeiten = 2; Schnelllauftore während der Öffnungszeiten = 4; langsam öffnende/schließende Tore während der Öffnungszeiten = 2; keine Sicherung = 0)</v>
      </c>
      <c r="C149" s="4">
        <f t="shared" si="15"/>
        <v>146</v>
      </c>
      <c r="D149" s="233" t="s">
        <v>510</v>
      </c>
      <c r="F149" s="226" t="str">
        <f t="shared" ca="1" si="17"/>
        <v>Ausgewiesenes Parkhauspersonal ist präsent und patroulliert durch die Parkeinrichtung (24/7 = 3; zu den Öffnungszeiten (wenn nicht 24/7) = 2; teilweise = 1; gar nicht = 0)</v>
      </c>
      <c r="G149" s="119"/>
      <c r="H149" s="226" t="s">
        <v>299</v>
      </c>
      <c r="I149" s="226" t="s">
        <v>715</v>
      </c>
      <c r="J149" s="226" t="s">
        <v>3132</v>
      </c>
      <c r="K149" s="226" t="s">
        <v>5232</v>
      </c>
      <c r="L149" s="226" t="s">
        <v>2208</v>
      </c>
      <c r="M149" s="226" t="s">
        <v>3648</v>
      </c>
      <c r="N149" s="226" t="s">
        <v>4319</v>
      </c>
      <c r="O149" s="226" t="s">
        <v>4816</v>
      </c>
    </row>
    <row r="150" spans="1:16" ht="112.5" x14ac:dyDescent="0.35">
      <c r="A150" s="4">
        <f t="shared" si="14"/>
        <v>147</v>
      </c>
      <c r="B150" s="118" t="str">
        <f t="shared" ca="1" si="16"/>
        <v>Verschließbare Fußgängerzu-/ausgänge (außerhalb der Öffnungszeiten): (Türen, Tore oder Rollgitter mit Öffnungen &lt;= 15cm = 2; &gt; 15cm = 0; keine Sicherung = 0; irrelevant (24 Std.-Betrieb) = 4)</v>
      </c>
      <c r="C150" s="4">
        <f t="shared" si="15"/>
        <v>147</v>
      </c>
      <c r="D150" s="233" t="s">
        <v>511</v>
      </c>
      <c r="F150" s="226" t="str">
        <f t="shared" ca="1" si="17"/>
        <v>Verschließbare Ein-/Ausfahrten:
(geschlossene Tore/Rollgitter außerhalb der Öffnungszeiten = 2; Schnelllauftore während der Öffnungszeiten = 4; langsam öffnende/schließende Tore während der Öffnungszeiten = 2; keine Sicherung = 0)</v>
      </c>
      <c r="G150" s="118"/>
      <c r="H150" s="226" t="s">
        <v>304</v>
      </c>
      <c r="I150" s="226" t="s">
        <v>716</v>
      </c>
      <c r="J150" s="226" t="s">
        <v>4064</v>
      </c>
      <c r="K150" s="226" t="s">
        <v>5233</v>
      </c>
      <c r="L150" s="226" t="s">
        <v>2209</v>
      </c>
      <c r="M150" s="226" t="s">
        <v>3649</v>
      </c>
      <c r="N150" s="226" t="s">
        <v>4320</v>
      </c>
      <c r="O150" s="226" t="s">
        <v>4817</v>
      </c>
    </row>
    <row r="151" spans="1:16" ht="75" x14ac:dyDescent="0.35">
      <c r="A151" s="4">
        <f t="shared" si="14"/>
        <v>148</v>
      </c>
      <c r="B151" s="121" t="str">
        <f t="shared" ca="1" si="16"/>
        <v>Vergitterung von Öffnungen nach außen und Sicherheitsgitter (&lt;= 15cm = 2; &gt; 15cm oder keine Vorkehrung = 0; irrelevant (keine Öffnungen nach außen) = 2)</v>
      </c>
      <c r="C151" s="4">
        <f t="shared" si="15"/>
        <v>148</v>
      </c>
      <c r="D151" s="233" t="s">
        <v>512</v>
      </c>
      <c r="F151" s="225" t="str">
        <f t="shared" ca="1" si="17"/>
        <v>Verschließbare Fußgängerzu-/ausgänge (außerhalb der Öffnungszeiten): (Türen, Tore oder Rollgitter mit Öffnungen &lt;= 15cm = 2; &gt; 15cm = 0; keine Sicherung = 0; irrelevant (24 Std.-Betrieb) = 4)</v>
      </c>
      <c r="G151" s="121"/>
      <c r="H151" s="225" t="s">
        <v>2913</v>
      </c>
      <c r="I151" s="225" t="s">
        <v>2958</v>
      </c>
      <c r="J151" s="225" t="s">
        <v>3133</v>
      </c>
      <c r="K151" s="225" t="s">
        <v>5234</v>
      </c>
      <c r="L151" s="225" t="s">
        <v>2210</v>
      </c>
      <c r="M151" s="225" t="s">
        <v>3650</v>
      </c>
      <c r="N151" s="225" t="s">
        <v>4321</v>
      </c>
      <c r="O151" s="225" t="s">
        <v>4818</v>
      </c>
    </row>
    <row r="152" spans="1:16" ht="62.5" x14ac:dyDescent="0.35">
      <c r="A152" s="4">
        <f t="shared" si="14"/>
        <v>149</v>
      </c>
      <c r="B152" s="121" t="str">
        <f t="shared" ca="1" si="16"/>
        <v>Wegweisung innerhalb/außerhalb der Parkeinrichtung</v>
      </c>
      <c r="C152" s="4">
        <f t="shared" si="15"/>
        <v>149</v>
      </c>
      <c r="D152" s="233" t="s">
        <v>513</v>
      </c>
      <c r="F152" s="228" t="str">
        <f t="shared" ca="1" si="17"/>
        <v>Vergitterung von Öffnungen nach außen und Sicherheitsgitter (&lt;= 15cm = 2; &gt; 15cm oder keine Vorkehrung = 0; irrelevant (keine Öffnungen nach außen) = 2)</v>
      </c>
      <c r="G152" s="121"/>
      <c r="H152" s="228" t="s">
        <v>310</v>
      </c>
      <c r="I152" s="228" t="s">
        <v>2959</v>
      </c>
      <c r="J152" s="228" t="s">
        <v>3134</v>
      </c>
      <c r="K152" s="228" t="s">
        <v>5235</v>
      </c>
      <c r="L152" s="228" t="s">
        <v>2211</v>
      </c>
      <c r="M152" s="228" t="s">
        <v>3651</v>
      </c>
      <c r="N152" s="228" t="s">
        <v>4322</v>
      </c>
      <c r="O152" s="228" t="s">
        <v>4819</v>
      </c>
    </row>
    <row r="153" spans="1:16" ht="26" x14ac:dyDescent="0.35">
      <c r="A153" s="4">
        <f t="shared" si="14"/>
        <v>150</v>
      </c>
      <c r="B153" s="121" t="e">
        <f>IF(ISBLANK(VLOOKUP(A153,$C$4:$T$9877,1+$A$1)),#REF!,VLOOKUP(A153,$C$4:$T$9877,1+$A$1))</f>
        <v>#REF!</v>
      </c>
      <c r="C153" s="4">
        <f t="shared" si="15"/>
        <v>150</v>
      </c>
      <c r="D153" s="233">
        <v>8</v>
      </c>
      <c r="F153" s="566" t="str">
        <f t="shared" ca="1" si="17"/>
        <v>Wegweisung innerhalb/außerhalb der Parkeinrichtung</v>
      </c>
      <c r="G153" s="121"/>
      <c r="H153" s="566" t="s">
        <v>438</v>
      </c>
      <c r="I153" s="566" t="s">
        <v>637</v>
      </c>
      <c r="J153" s="566" t="s">
        <v>3135</v>
      </c>
      <c r="K153" s="566" t="s">
        <v>5236</v>
      </c>
      <c r="L153" s="566" t="s">
        <v>3508</v>
      </c>
      <c r="M153" s="566" t="s">
        <v>3652</v>
      </c>
      <c r="N153" s="566" t="s">
        <v>5316</v>
      </c>
      <c r="O153" s="566" t="s">
        <v>4820</v>
      </c>
      <c r="P153" s="577"/>
    </row>
    <row r="154" spans="1:16" ht="29" x14ac:dyDescent="0.35">
      <c r="A154" s="4">
        <f t="shared" si="14"/>
        <v>151</v>
      </c>
      <c r="B154" s="121"/>
      <c r="C154" s="4">
        <f t="shared" si="15"/>
        <v>151</v>
      </c>
      <c r="D154" s="233" t="s">
        <v>59</v>
      </c>
      <c r="F154" s="222" t="str">
        <f t="shared" ca="1" si="17"/>
        <v>Anzeige von freien Stellplätzen</v>
      </c>
      <c r="G154" s="121"/>
      <c r="H154" s="222" t="s">
        <v>2693</v>
      </c>
      <c r="I154" s="222" t="s">
        <v>2960</v>
      </c>
      <c r="J154" s="222" t="s">
        <v>1054</v>
      </c>
      <c r="K154" s="222" t="s">
        <v>1528</v>
      </c>
      <c r="L154" s="222" t="s">
        <v>2212</v>
      </c>
      <c r="M154" s="222" t="s">
        <v>3653</v>
      </c>
      <c r="N154" s="222" t="s">
        <v>4323</v>
      </c>
      <c r="O154" s="222" t="s">
        <v>4821</v>
      </c>
      <c r="P154" s="577"/>
    </row>
    <row r="155" spans="1:16" ht="29" x14ac:dyDescent="0.35">
      <c r="A155" s="4">
        <f t="shared" si="14"/>
        <v>152</v>
      </c>
      <c r="B155" s="121"/>
      <c r="C155" s="4">
        <f t="shared" si="15"/>
        <v>152</v>
      </c>
      <c r="D155" s="233" t="s">
        <v>2695</v>
      </c>
      <c r="F155" s="222" t="str">
        <f t="shared" ca="1" si="17"/>
        <v>etagenweise (ja/gut = 2; nein/schlecht = 0)</v>
      </c>
      <c r="G155" s="121"/>
      <c r="H155" s="222" t="s">
        <v>314</v>
      </c>
      <c r="I155" s="222" t="s">
        <v>719</v>
      </c>
      <c r="J155" s="222" t="s">
        <v>3136</v>
      </c>
      <c r="K155" s="222" t="s">
        <v>5237</v>
      </c>
      <c r="L155" s="222" t="s">
        <v>2213</v>
      </c>
      <c r="M155" s="222" t="s">
        <v>3654</v>
      </c>
      <c r="N155" s="222" t="s">
        <v>4324</v>
      </c>
      <c r="O155" s="222" t="s">
        <v>4822</v>
      </c>
      <c r="P155" s="122"/>
    </row>
    <row r="156" spans="1:16" ht="29" x14ac:dyDescent="0.35">
      <c r="A156" s="4">
        <f t="shared" si="14"/>
        <v>153</v>
      </c>
      <c r="B156" s="121"/>
      <c r="C156" s="4">
        <f t="shared" si="15"/>
        <v>153</v>
      </c>
      <c r="D156" s="233" t="s">
        <v>2696</v>
      </c>
      <c r="F156" s="222" t="str">
        <f t="shared" ca="1" si="17"/>
        <v>gassenweise (ja/gut = 2; nein/schlecht = 0)</v>
      </c>
      <c r="G156" s="121"/>
      <c r="H156" s="222" t="s">
        <v>315</v>
      </c>
      <c r="I156" s="222" t="s">
        <v>720</v>
      </c>
      <c r="J156" s="222" t="s">
        <v>3137</v>
      </c>
      <c r="K156" s="222" t="s">
        <v>5238</v>
      </c>
      <c r="L156" s="222" t="s">
        <v>2328</v>
      </c>
      <c r="M156" s="222" t="s">
        <v>3655</v>
      </c>
      <c r="N156" s="222" t="s">
        <v>4325</v>
      </c>
      <c r="O156" s="222" t="s">
        <v>4823</v>
      </c>
      <c r="P156" s="122"/>
    </row>
    <row r="157" spans="1:16" ht="29" x14ac:dyDescent="0.35">
      <c r="A157" s="4">
        <f t="shared" si="14"/>
        <v>154</v>
      </c>
      <c r="B157" s="121"/>
      <c r="C157" s="4">
        <f t="shared" si="15"/>
        <v>154</v>
      </c>
      <c r="D157" s="233" t="s">
        <v>2697</v>
      </c>
      <c r="F157" s="222" t="str">
        <f t="shared" ca="1" si="17"/>
        <v>Einzelstellplatzanzeige (ja/gut = 2; nein/schlecht = 0)</v>
      </c>
      <c r="G157" s="121"/>
      <c r="H157" s="222" t="s">
        <v>316</v>
      </c>
      <c r="I157" s="222" t="s">
        <v>721</v>
      </c>
      <c r="J157" s="222" t="s">
        <v>3138</v>
      </c>
      <c r="K157" s="222" t="s">
        <v>3347</v>
      </c>
      <c r="L157" s="222" t="s">
        <v>2329</v>
      </c>
      <c r="M157" s="222" t="s">
        <v>3656</v>
      </c>
      <c r="N157" s="222" t="s">
        <v>4326</v>
      </c>
      <c r="O157" s="222" t="s">
        <v>4824</v>
      </c>
      <c r="P157" s="122"/>
    </row>
    <row r="158" spans="1:16" ht="29" x14ac:dyDescent="0.35">
      <c r="A158" s="4">
        <f t="shared" si="14"/>
        <v>155</v>
      </c>
      <c r="B158" s="121"/>
      <c r="C158" s="4">
        <f t="shared" si="15"/>
        <v>155</v>
      </c>
      <c r="D158" s="233" t="s">
        <v>60</v>
      </c>
      <c r="F158" s="222" t="str">
        <f t="shared" ca="1" si="17"/>
        <v>Verkehrsleitsystem (Fahrzeuge)</v>
      </c>
      <c r="G158" s="121"/>
      <c r="H158" s="222" t="s">
        <v>2694</v>
      </c>
      <c r="I158" s="222" t="s">
        <v>639</v>
      </c>
      <c r="J158" s="222" t="s">
        <v>3139</v>
      </c>
      <c r="K158" s="222" t="s">
        <v>3348</v>
      </c>
      <c r="L158" s="222" t="s">
        <v>2330</v>
      </c>
      <c r="M158" s="222" t="s">
        <v>3657</v>
      </c>
      <c r="N158" s="222" t="s">
        <v>4327</v>
      </c>
      <c r="O158" s="222" t="s">
        <v>4825</v>
      </c>
      <c r="P158" s="577"/>
    </row>
    <row r="159" spans="1:16" ht="58" x14ac:dyDescent="0.35">
      <c r="A159" s="4">
        <f t="shared" si="14"/>
        <v>156</v>
      </c>
      <c r="B159" s="121"/>
      <c r="C159" s="4">
        <f t="shared" si="15"/>
        <v>156</v>
      </c>
      <c r="D159" s="233" t="s">
        <v>2698</v>
      </c>
      <c r="F159" s="222" t="str">
        <f t="shared" ca="1" si="17"/>
        <v>Sind die Parkebenen für den Fahrer klar verständlich gekennzeichnet? (gut = 3; angemessen = 2; schlecht = 1; nein = 0)</v>
      </c>
      <c r="G159" s="121"/>
      <c r="H159" s="222" t="s">
        <v>322</v>
      </c>
      <c r="I159" s="222" t="s">
        <v>722</v>
      </c>
      <c r="J159" s="222" t="s">
        <v>3140</v>
      </c>
      <c r="K159" s="222" t="s">
        <v>5239</v>
      </c>
      <c r="L159" s="222" t="s">
        <v>2214</v>
      </c>
      <c r="M159" s="222" t="s">
        <v>3658</v>
      </c>
      <c r="N159" s="222" t="s">
        <v>4328</v>
      </c>
      <c r="O159" s="222" t="s">
        <v>4826</v>
      </c>
      <c r="P159" s="122"/>
    </row>
    <row r="160" spans="1:16" ht="72.5" x14ac:dyDescent="0.35">
      <c r="A160" s="4">
        <f t="shared" si="14"/>
        <v>157</v>
      </c>
      <c r="B160" s="121"/>
      <c r="C160" s="4">
        <f t="shared" si="15"/>
        <v>157</v>
      </c>
      <c r="D160" s="233" t="s">
        <v>2699</v>
      </c>
      <c r="F160" s="222" t="str">
        <f t="shared" ca="1" si="17"/>
        <v>Gibt es auf (großen) Parkebenen durch Markierungen abgegrenzte Parkbereiche zur besseren Orientierung? Sind diese für den Fahrer klar verständlich?  (gut = 3; angemessen = 2; schlecht = 1; nein = 0)</v>
      </c>
      <c r="G160" s="121"/>
      <c r="H160" s="222" t="s">
        <v>323</v>
      </c>
      <c r="I160" s="222" t="s">
        <v>723</v>
      </c>
      <c r="J160" s="222" t="s">
        <v>3141</v>
      </c>
      <c r="K160" s="222" t="s">
        <v>5240</v>
      </c>
      <c r="L160" s="222" t="s">
        <v>2215</v>
      </c>
      <c r="M160" s="222" t="s">
        <v>3659</v>
      </c>
      <c r="N160" s="222" t="s">
        <v>4329</v>
      </c>
      <c r="O160" s="222" t="s">
        <v>4827</v>
      </c>
      <c r="P160" s="122"/>
    </row>
    <row r="161" spans="1:16" ht="126" x14ac:dyDescent="0.35">
      <c r="A161" s="4">
        <f t="shared" si="14"/>
        <v>158</v>
      </c>
      <c r="B161" s="118" t="str">
        <f t="shared" ref="B161:B167" ca="1" si="18">IF(ISBLANK(VLOOKUP(A161,$C$4:$T$9877,1+$A$1)),F162,VLOOKUP(A161,$C$4:$T$9877,1+$A$1))</f>
        <v>Sind die Ebenen deutlich gekennzeichnet? (gut = 3; angemessen = 2; schlecht = 1; nein = 0; nur eine Ebene: = 3)</v>
      </c>
      <c r="C161" s="4">
        <f t="shared" si="15"/>
        <v>158</v>
      </c>
      <c r="D161" s="233" t="s">
        <v>61</v>
      </c>
      <c r="F161" s="222" t="str">
        <f t="shared" ca="1" si="17"/>
        <v>Sind die Notausgänge und Fluchtwege klar gekennzeichnet und sichtbar:
• von allen Punkten = 3
• an dem meisten Punkten = 2
• an einigen Punkten =1
• keine Anzeige =0)</v>
      </c>
      <c r="G161" s="118"/>
      <c r="H161" s="222" t="s">
        <v>1777</v>
      </c>
      <c r="I161" s="230" t="s">
        <v>1778</v>
      </c>
      <c r="J161" s="230" t="s">
        <v>3142</v>
      </c>
      <c r="K161" s="230" t="s">
        <v>5241</v>
      </c>
      <c r="L161" s="230" t="s">
        <v>2216</v>
      </c>
      <c r="M161" s="230" t="s">
        <v>3660</v>
      </c>
      <c r="N161" s="230" t="s">
        <v>4330</v>
      </c>
      <c r="O161" s="230" t="s">
        <v>4828</v>
      </c>
      <c r="P161" s="122"/>
    </row>
    <row r="162" spans="1:16" ht="50" x14ac:dyDescent="0.35">
      <c r="A162" s="4">
        <f t="shared" si="14"/>
        <v>159</v>
      </c>
      <c r="B162" s="121" t="str">
        <f t="shared" ca="1" si="18"/>
        <v>Gibt es zusätzliche Wegweiser für Fußgänger (gut = 2; teilweise = 1; keine = 0)</v>
      </c>
      <c r="C162" s="4">
        <f t="shared" si="15"/>
        <v>159</v>
      </c>
      <c r="D162" s="233" t="s">
        <v>94</v>
      </c>
      <c r="F162" s="225" t="str">
        <f t="shared" ca="1" si="17"/>
        <v>Sind die Ebenen deutlich gekennzeichnet? (gut = 3; angemessen = 2; schlecht = 1; nein = 0; nur eine Ebene: = 3)</v>
      </c>
      <c r="G162" s="121"/>
      <c r="H162" s="225" t="s">
        <v>1781</v>
      </c>
      <c r="I162" s="225" t="s">
        <v>1782</v>
      </c>
      <c r="J162" s="225" t="s">
        <v>3143</v>
      </c>
      <c r="K162" s="225" t="s">
        <v>5242</v>
      </c>
      <c r="L162" s="225" t="s">
        <v>2217</v>
      </c>
      <c r="M162" s="225" t="s">
        <v>3661</v>
      </c>
      <c r="N162" s="225" t="s">
        <v>4331</v>
      </c>
      <c r="O162" s="225" t="s">
        <v>4829</v>
      </c>
    </row>
    <row r="163" spans="1:16" ht="50" x14ac:dyDescent="0.35">
      <c r="A163" s="4">
        <f t="shared" si="14"/>
        <v>160</v>
      </c>
      <c r="B163" s="121" t="str">
        <f t="shared" ca="1" si="18"/>
        <v>Sind die Stellplätze einzeln nummeriert (nummeriert einschließlich Ebene = 2; nummeriert = 1; nein = 0)</v>
      </c>
      <c r="C163" s="4">
        <f t="shared" si="15"/>
        <v>160</v>
      </c>
      <c r="D163" s="233" t="s">
        <v>95</v>
      </c>
      <c r="F163" s="228" t="str">
        <f t="shared" ca="1" si="17"/>
        <v>Gibt es zusätzliche Wegweiser für Fußgänger (gut = 2; teilweise = 1; keine = 0)</v>
      </c>
      <c r="G163" s="121"/>
      <c r="H163" s="228" t="s">
        <v>331</v>
      </c>
      <c r="I163" s="228" t="s">
        <v>724</v>
      </c>
      <c r="J163" s="228" t="s">
        <v>3144</v>
      </c>
      <c r="K163" s="228" t="s">
        <v>5243</v>
      </c>
      <c r="L163" s="228" t="s">
        <v>2218</v>
      </c>
      <c r="M163" s="228" t="s">
        <v>3662</v>
      </c>
      <c r="N163" s="228" t="s">
        <v>4332</v>
      </c>
      <c r="O163" s="228" t="s">
        <v>4830</v>
      </c>
    </row>
    <row r="164" spans="1:16" ht="62.5" x14ac:dyDescent="0.35">
      <c r="A164" s="4">
        <f t="shared" si="14"/>
        <v>161</v>
      </c>
      <c r="B164" s="121" t="str">
        <f t="shared" ca="1" si="18"/>
        <v>Verwendung von Farben zur besseren Orientierung (ja =1; nein = 0)</v>
      </c>
      <c r="C164" s="4">
        <f t="shared" si="15"/>
        <v>161</v>
      </c>
      <c r="D164" s="233" t="s">
        <v>96</v>
      </c>
      <c r="F164" s="228" t="str">
        <f t="shared" ca="1" si="17"/>
        <v>Sind die Stellplätze einzeln nummeriert (nummeriert einschließlich Ebene = 2; nummeriert = 1; nein = 0)</v>
      </c>
      <c r="G164" s="121"/>
      <c r="H164" s="228" t="s">
        <v>332</v>
      </c>
      <c r="I164" s="228" t="s">
        <v>725</v>
      </c>
      <c r="J164" s="228" t="s">
        <v>3145</v>
      </c>
      <c r="K164" s="228" t="s">
        <v>5244</v>
      </c>
      <c r="L164" s="228" t="s">
        <v>2219</v>
      </c>
      <c r="M164" s="228" t="s">
        <v>3663</v>
      </c>
      <c r="N164" s="228" t="s">
        <v>4333</v>
      </c>
      <c r="O164" s="228" t="s">
        <v>4831</v>
      </c>
    </row>
    <row r="165" spans="1:16" ht="37.5" x14ac:dyDescent="0.35">
      <c r="A165" s="4">
        <f t="shared" si="14"/>
        <v>162</v>
      </c>
      <c r="B165" s="118" t="str">
        <f t="shared" ca="1" si="18"/>
        <v>(Städtisches) Parkleitsystem</v>
      </c>
      <c r="C165" s="4">
        <f t="shared" si="15"/>
        <v>162</v>
      </c>
      <c r="D165" s="233" t="s">
        <v>97</v>
      </c>
      <c r="F165" s="228" t="str">
        <f t="shared" ca="1" si="17"/>
        <v>Verwendung von Farben zur besseren Orientierung (ja =1; nein = 0)</v>
      </c>
      <c r="G165" s="118"/>
      <c r="H165" s="228" t="s">
        <v>336</v>
      </c>
      <c r="I165" s="228" t="s">
        <v>726</v>
      </c>
      <c r="J165" s="228" t="s">
        <v>1063</v>
      </c>
      <c r="K165" s="228" t="s">
        <v>5245</v>
      </c>
      <c r="L165" s="228" t="s">
        <v>2220</v>
      </c>
      <c r="M165" s="228" t="s">
        <v>3664</v>
      </c>
      <c r="N165" s="228" t="s">
        <v>4334</v>
      </c>
      <c r="O165" s="228" t="s">
        <v>4832</v>
      </c>
    </row>
    <row r="166" spans="1:16" ht="37.5" x14ac:dyDescent="0.35">
      <c r="A166" s="4">
        <f t="shared" si="14"/>
        <v>163</v>
      </c>
      <c r="B166" s="121" t="str">
        <f t="shared" ca="1" si="18"/>
        <v>statisches Leitsystem (ja = 1; nein = 0)</v>
      </c>
      <c r="C166" s="4">
        <f t="shared" si="15"/>
        <v>163</v>
      </c>
      <c r="D166" s="233" t="s">
        <v>98</v>
      </c>
      <c r="F166" s="225" t="str">
        <f t="shared" ca="1" si="17"/>
        <v>(Städtisches) Parkleitsystem</v>
      </c>
      <c r="G166" s="121"/>
      <c r="H166" s="225" t="s">
        <v>337</v>
      </c>
      <c r="I166" s="225" t="s">
        <v>640</v>
      </c>
      <c r="J166" s="225" t="s">
        <v>3146</v>
      </c>
      <c r="K166" s="225" t="s">
        <v>5246</v>
      </c>
      <c r="L166" s="225" t="s">
        <v>2332</v>
      </c>
      <c r="M166" s="225" t="s">
        <v>3665</v>
      </c>
      <c r="N166" s="225" t="s">
        <v>4335</v>
      </c>
      <c r="O166" s="225" t="s">
        <v>4833</v>
      </c>
    </row>
    <row r="167" spans="1:16" ht="25" x14ac:dyDescent="0.35">
      <c r="A167" s="4">
        <f t="shared" si="14"/>
        <v>164</v>
      </c>
      <c r="B167" s="121" t="str">
        <f t="shared" ca="1" si="18"/>
        <v>zusätzliches dynamisches Leitsystem (freie Plätze = 2; Frei / Besetzt = 1; nein = 0)</v>
      </c>
      <c r="C167" s="4">
        <f t="shared" si="15"/>
        <v>164</v>
      </c>
      <c r="D167" s="233" t="s">
        <v>2700</v>
      </c>
      <c r="F167" s="228" t="str">
        <f t="shared" ca="1" si="17"/>
        <v>statisches Leitsystem (ja = 1; nein = 0)</v>
      </c>
      <c r="G167" s="121"/>
      <c r="H167" s="228" t="s">
        <v>338</v>
      </c>
      <c r="I167" s="228" t="s">
        <v>727</v>
      </c>
      <c r="J167" s="228" t="s">
        <v>3147</v>
      </c>
      <c r="K167" s="228" t="s">
        <v>3349</v>
      </c>
      <c r="L167" s="228" t="s">
        <v>2221</v>
      </c>
      <c r="M167" s="228" t="s">
        <v>3666</v>
      </c>
      <c r="N167" s="228" t="s">
        <v>4336</v>
      </c>
      <c r="O167" s="228" t="s">
        <v>4834</v>
      </c>
    </row>
    <row r="168" spans="1:16" ht="50" x14ac:dyDescent="0.35">
      <c r="A168" s="4">
        <f t="shared" si="14"/>
        <v>165</v>
      </c>
      <c r="B168" s="121" t="e">
        <f>IF(ISBLANK(VLOOKUP(A168,$C$4:$T$9877,1+$A$1)),#REF!,VLOOKUP(A168,$C$4:$T$9877,1+$A$1))</f>
        <v>#REF!</v>
      </c>
      <c r="C168" s="4">
        <f t="shared" si="15"/>
        <v>165</v>
      </c>
      <c r="D168" s="233" t="s">
        <v>2701</v>
      </c>
      <c r="F168" s="228" t="str">
        <f t="shared" ca="1" si="17"/>
        <v>zusätzliches dynamisches Leitsystem (freie Plätze = 2; Frei / Besetzt = 1; nein = 0)</v>
      </c>
      <c r="G168" s="121"/>
      <c r="H168" s="228" t="s">
        <v>2570</v>
      </c>
      <c r="I168" s="228" t="s">
        <v>2961</v>
      </c>
      <c r="J168" s="228" t="s">
        <v>3148</v>
      </c>
      <c r="K168" s="228" t="s">
        <v>5247</v>
      </c>
      <c r="L168" s="228" t="s">
        <v>3464</v>
      </c>
      <c r="M168" s="228" t="s">
        <v>3667</v>
      </c>
      <c r="N168" s="228" t="s">
        <v>4337</v>
      </c>
      <c r="O168" s="228" t="s">
        <v>4835</v>
      </c>
    </row>
    <row r="169" spans="1:16" ht="37.5" x14ac:dyDescent="0.35">
      <c r="B169" s="121"/>
      <c r="C169" s="4">
        <f t="shared" si="15"/>
        <v>166</v>
      </c>
      <c r="D169" s="233" t="s">
        <v>2818</v>
      </c>
      <c r="F169" s="228" t="str">
        <f t="shared" ca="1" si="17"/>
        <v>Standort in Navigationssysteme integriert? (ja = 2; nein = 0)</v>
      </c>
      <c r="G169" s="121"/>
      <c r="H169" s="228" t="s">
        <v>2836</v>
      </c>
      <c r="I169" s="228" t="s">
        <v>2962</v>
      </c>
      <c r="J169" s="228" t="s">
        <v>2836</v>
      </c>
      <c r="K169" s="228" t="s">
        <v>5248</v>
      </c>
      <c r="L169" s="228" t="s">
        <v>3465</v>
      </c>
      <c r="M169" s="228" t="s">
        <v>3794</v>
      </c>
      <c r="N169" s="228" t="s">
        <v>4338</v>
      </c>
      <c r="O169" s="228" t="s">
        <v>4836</v>
      </c>
    </row>
    <row r="170" spans="1:16" ht="25" x14ac:dyDescent="0.35">
      <c r="A170" s="4">
        <f t="shared" si="14"/>
        <v>167</v>
      </c>
      <c r="B170" s="121" t="str">
        <f t="shared" ref="B170:B183" ca="1" si="19">IF(ISBLANK(VLOOKUP(A170,$C$4:$T$9877,1+$A$1)),F171,VLOOKUP(A170,$C$4:$T$9877,1+$A$1))</f>
        <v>grüne Pfeile / rote Kreuze (ja = 1; nein = 0)</v>
      </c>
      <c r="C170" s="4">
        <f t="shared" si="15"/>
        <v>167</v>
      </c>
      <c r="D170" s="233" t="s">
        <v>515</v>
      </c>
      <c r="F170" s="228" t="str">
        <f t="shared" ca="1" si="17"/>
        <v>Leuchtschilder an der Einfahrt</v>
      </c>
      <c r="G170" s="121"/>
      <c r="H170" s="228" t="s">
        <v>340</v>
      </c>
      <c r="I170" s="228" t="s">
        <v>641</v>
      </c>
      <c r="J170" s="228" t="s">
        <v>3149</v>
      </c>
      <c r="K170" s="228" t="s">
        <v>3350</v>
      </c>
      <c r="L170" s="228" t="s">
        <v>2223</v>
      </c>
      <c r="M170" s="228" t="s">
        <v>3668</v>
      </c>
      <c r="N170" s="228" t="s">
        <v>4339</v>
      </c>
      <c r="O170" s="228" t="s">
        <v>4837</v>
      </c>
    </row>
    <row r="171" spans="1:16" ht="25" x14ac:dyDescent="0.35">
      <c r="A171" s="4">
        <f t="shared" si="14"/>
        <v>168</v>
      </c>
      <c r="B171" s="121" t="str">
        <f t="shared" ca="1" si="19"/>
        <v>zusätzliches dynamisches Leitsystem (freie Plätze = 2; Frei / Besetzt = 1; nein = 0)</v>
      </c>
      <c r="C171" s="4">
        <f t="shared" si="15"/>
        <v>168</v>
      </c>
      <c r="D171" s="233" t="s">
        <v>2702</v>
      </c>
      <c r="F171" s="228" t="str">
        <f t="shared" ca="1" si="17"/>
        <v>grüne Pfeile / rote Kreuze (ja = 1; nein = 0)</v>
      </c>
      <c r="G171" s="121"/>
      <c r="H171" s="228" t="s">
        <v>341</v>
      </c>
      <c r="I171" s="228" t="s">
        <v>729</v>
      </c>
      <c r="J171" s="228" t="s">
        <v>3150</v>
      </c>
      <c r="K171" s="228" t="s">
        <v>3351</v>
      </c>
      <c r="L171" s="228" t="s">
        <v>2224</v>
      </c>
      <c r="M171" s="228" t="s">
        <v>3669</v>
      </c>
      <c r="N171" s="228" t="s">
        <v>4340</v>
      </c>
      <c r="O171" s="228" t="s">
        <v>4838</v>
      </c>
    </row>
    <row r="172" spans="1:16" ht="37.5" x14ac:dyDescent="0.35">
      <c r="A172" s="4">
        <f t="shared" si="14"/>
        <v>169</v>
      </c>
      <c r="B172" s="121" t="str">
        <f t="shared" ca="1" si="19"/>
        <v>Beschilderung am Fußgängerzugang (ja = 1; nein = 0)</v>
      </c>
      <c r="C172" s="4">
        <f t="shared" si="15"/>
        <v>169</v>
      </c>
      <c r="D172" s="233" t="s">
        <v>2703</v>
      </c>
      <c r="F172" s="228" t="str">
        <f t="shared" ca="1" si="17"/>
        <v>zusätzliches dynamisches Leitsystem (freie Plätze = 2; Frei / Besetzt = 1; nein = 0)</v>
      </c>
      <c r="G172" s="121"/>
      <c r="H172" s="228" t="s">
        <v>2571</v>
      </c>
      <c r="I172" s="228" t="s">
        <v>2963</v>
      </c>
      <c r="J172" s="228" t="s">
        <v>4065</v>
      </c>
      <c r="K172" s="228" t="s">
        <v>5247</v>
      </c>
      <c r="L172" s="228" t="s">
        <v>3466</v>
      </c>
      <c r="M172" s="228" t="s">
        <v>3670</v>
      </c>
      <c r="N172" s="228" t="s">
        <v>4341</v>
      </c>
      <c r="O172" s="228" t="s">
        <v>4839</v>
      </c>
    </row>
    <row r="173" spans="1:16" ht="25" x14ac:dyDescent="0.35">
      <c r="A173" s="4">
        <f t="shared" si="14"/>
        <v>170</v>
      </c>
      <c r="B173" s="121" t="str">
        <f t="shared" ca="1" si="19"/>
        <v>Stadtplan an zentraler Stelle in der Parkeinrichtung:
(an jedem Ausgang = 2; an einer Stelle = 1; keiner = 0)</v>
      </c>
      <c r="C173" s="4">
        <f t="shared" si="15"/>
        <v>170</v>
      </c>
      <c r="D173" s="233" t="s">
        <v>2704</v>
      </c>
      <c r="F173" s="228" t="str">
        <f t="shared" ca="1" si="17"/>
        <v>Beschilderung am Fußgängerzugang (ja = 1; nein = 0)</v>
      </c>
      <c r="G173" s="121"/>
      <c r="H173" s="228" t="s">
        <v>343</v>
      </c>
      <c r="I173" s="228" t="s">
        <v>731</v>
      </c>
      <c r="J173" s="228" t="s">
        <v>3151</v>
      </c>
      <c r="K173" s="228" t="s">
        <v>5249</v>
      </c>
      <c r="L173" s="228" t="s">
        <v>2226</v>
      </c>
      <c r="M173" s="228" t="s">
        <v>3671</v>
      </c>
      <c r="N173" s="228" t="s">
        <v>4342</v>
      </c>
      <c r="O173" s="228" t="s">
        <v>4840</v>
      </c>
    </row>
    <row r="174" spans="1:16" ht="50" x14ac:dyDescent="0.35">
      <c r="A174" s="4">
        <f t="shared" si="14"/>
        <v>171</v>
      </c>
      <c r="B174" s="118" t="str">
        <f t="shared" ca="1" si="19"/>
        <v>Informationen zu:</v>
      </c>
      <c r="C174" s="4">
        <f t="shared" si="15"/>
        <v>171</v>
      </c>
      <c r="D174" s="233" t="s">
        <v>1775</v>
      </c>
      <c r="F174" s="228" t="str">
        <f t="shared" ca="1" si="17"/>
        <v>Stadtplan an zentraler Stelle in der Parkeinrichtung:
(an jedem Ausgang = 2; an einer Stelle = 1; keiner = 0)</v>
      </c>
      <c r="G174" s="118"/>
      <c r="H174" s="228" t="s">
        <v>2819</v>
      </c>
      <c r="I174" s="228" t="s">
        <v>698</v>
      </c>
      <c r="J174" s="228" t="s">
        <v>3152</v>
      </c>
      <c r="K174" s="228" t="s">
        <v>5250</v>
      </c>
      <c r="L174" s="228" t="s">
        <v>3467</v>
      </c>
      <c r="M174" s="228" t="s">
        <v>3672</v>
      </c>
      <c r="N174" s="228" t="s">
        <v>4343</v>
      </c>
      <c r="O174" s="228" t="s">
        <v>4841</v>
      </c>
    </row>
    <row r="175" spans="1:16" x14ac:dyDescent="0.35">
      <c r="A175" s="4">
        <f t="shared" si="14"/>
        <v>172</v>
      </c>
      <c r="B175" s="118" t="str">
        <f t="shared" ca="1" si="19"/>
        <v>zu wichtigen Sehenswürdigkeiten in der Nähe der Parkeinrichtung an den Ausgängen (ja = 1; nein = 0)</v>
      </c>
      <c r="C175" s="4">
        <f t="shared" si="15"/>
        <v>172</v>
      </c>
      <c r="D175" s="233" t="s">
        <v>1776</v>
      </c>
      <c r="F175" s="225" t="str">
        <f t="shared" ca="1" si="17"/>
        <v>Informationen zu:</v>
      </c>
      <c r="G175" s="118"/>
      <c r="H175" s="225" t="s">
        <v>198</v>
      </c>
      <c r="I175" s="225" t="s">
        <v>615</v>
      </c>
      <c r="J175" s="225" t="s">
        <v>3153</v>
      </c>
      <c r="K175" s="225" t="s">
        <v>3309</v>
      </c>
      <c r="L175" s="225" t="s">
        <v>2185</v>
      </c>
      <c r="M175" s="225" t="s">
        <v>3673</v>
      </c>
      <c r="N175" s="225" t="s">
        <v>4344</v>
      </c>
      <c r="O175" s="225" t="s">
        <v>4842</v>
      </c>
    </row>
    <row r="176" spans="1:16" ht="37.5" x14ac:dyDescent="0.35">
      <c r="A176" s="4">
        <f t="shared" si="14"/>
        <v>173</v>
      </c>
      <c r="B176" s="119" t="str">
        <f t="shared" ca="1" si="19"/>
        <v>zu den Fußgängerzugängen rund um die Parkeinrichtung (ja = 1; nein = 0)</v>
      </c>
      <c r="C176" s="4">
        <f t="shared" si="15"/>
        <v>173</v>
      </c>
      <c r="D176" s="233" t="s">
        <v>2705</v>
      </c>
      <c r="F176" s="225" t="str">
        <f t="shared" ca="1" si="17"/>
        <v>zu wichtigen Sehenswürdigkeiten in der Nähe der Parkeinrichtung an den Ausgängen (ja = 1; nein = 0)</v>
      </c>
      <c r="G176" s="119"/>
      <c r="H176" s="225" t="s">
        <v>268</v>
      </c>
      <c r="I176" s="225" t="s">
        <v>699</v>
      </c>
      <c r="J176" s="225" t="s">
        <v>3154</v>
      </c>
      <c r="K176" s="225" t="s">
        <v>5251</v>
      </c>
      <c r="L176" s="225" t="s">
        <v>2308</v>
      </c>
      <c r="M176" s="225" t="s">
        <v>3674</v>
      </c>
      <c r="N176" s="225" t="s">
        <v>4345</v>
      </c>
      <c r="O176" s="225" t="s">
        <v>4843</v>
      </c>
    </row>
    <row r="177" spans="1:15" ht="37.5" x14ac:dyDescent="0.35">
      <c r="A177" s="4">
        <f t="shared" ref="A177" si="20">C177</f>
        <v>174</v>
      </c>
      <c r="B177" s="119" t="str">
        <f t="shared" ca="1" si="19"/>
        <v>Komfort und Verschiedenes</v>
      </c>
      <c r="C177" s="4">
        <f t="shared" si="15"/>
        <v>174</v>
      </c>
      <c r="D177" s="233" t="s">
        <v>2706</v>
      </c>
      <c r="F177" s="226" t="str">
        <f t="shared" ca="1" si="17"/>
        <v>zu den Fußgängerzugängen rund um die Parkeinrichtung (ja = 1; nein = 0)</v>
      </c>
      <c r="G177" s="119"/>
      <c r="H177" s="226" t="s">
        <v>269</v>
      </c>
      <c r="I177" s="226" t="s">
        <v>700</v>
      </c>
      <c r="J177" s="226" t="s">
        <v>3155</v>
      </c>
      <c r="K177" s="226" t="s">
        <v>5252</v>
      </c>
      <c r="L177" s="226" t="s">
        <v>2309</v>
      </c>
      <c r="M177" s="226" t="s">
        <v>3675</v>
      </c>
      <c r="N177" s="226" t="s">
        <v>4346</v>
      </c>
      <c r="O177" s="226" t="s">
        <v>4844</v>
      </c>
    </row>
    <row r="178" spans="1:15" x14ac:dyDescent="0.35">
      <c r="A178" s="4">
        <f t="shared" ref="A178:A184" si="21">C178</f>
        <v>175</v>
      </c>
      <c r="B178" s="118" t="str">
        <f t="shared" ca="1" si="19"/>
        <v>Hinweisbeschilderung an den Fußgängerzu-/ausgängen bzgl.:</v>
      </c>
      <c r="C178" s="4">
        <f t="shared" si="15"/>
        <v>175</v>
      </c>
      <c r="D178" s="233">
        <v>9</v>
      </c>
      <c r="F178" s="567" t="str">
        <f t="shared" ca="1" si="17"/>
        <v>Komfort und Verschiedenes</v>
      </c>
      <c r="G178" s="118"/>
      <c r="H178" s="567" t="s">
        <v>2535</v>
      </c>
      <c r="I178" s="567" t="s">
        <v>642</v>
      </c>
      <c r="J178" s="567" t="s">
        <v>1071</v>
      </c>
      <c r="K178" s="567" t="s">
        <v>3352</v>
      </c>
      <c r="L178" s="567" t="s">
        <v>3468</v>
      </c>
      <c r="M178" s="567" t="s">
        <v>3676</v>
      </c>
      <c r="N178" s="567" t="s">
        <v>4347</v>
      </c>
      <c r="O178" s="567" t="s">
        <v>4845</v>
      </c>
    </row>
    <row r="179" spans="1:15" ht="25" x14ac:dyDescent="0.35">
      <c r="A179" s="4">
        <f t="shared" si="21"/>
        <v>176</v>
      </c>
      <c r="B179" s="121" t="str">
        <f t="shared" ca="1" si="19"/>
        <v>normale/besondere Öffnungszeitene (ja = 1; nein = 0)</v>
      </c>
      <c r="C179" s="4">
        <f t="shared" si="15"/>
        <v>176</v>
      </c>
      <c r="D179" s="233" t="s">
        <v>2837</v>
      </c>
      <c r="F179" s="225" t="str">
        <f t="shared" ca="1" si="17"/>
        <v>Hinweisbeschilderung an den Fußgängerzu-/ausgängen bzgl.:</v>
      </c>
      <c r="G179" s="121"/>
      <c r="H179" s="225" t="s">
        <v>1307</v>
      </c>
      <c r="I179" s="225" t="s">
        <v>643</v>
      </c>
      <c r="J179" s="225" t="s">
        <v>3156</v>
      </c>
      <c r="K179" s="225" t="s">
        <v>5253</v>
      </c>
      <c r="L179" s="225" t="s">
        <v>2228</v>
      </c>
      <c r="M179" s="225" t="s">
        <v>3677</v>
      </c>
      <c r="N179" s="225" t="s">
        <v>4348</v>
      </c>
      <c r="O179" s="225" t="s">
        <v>4846</v>
      </c>
    </row>
    <row r="180" spans="1:15" ht="37.5" x14ac:dyDescent="0.35">
      <c r="A180" s="4">
        <f t="shared" si="21"/>
        <v>177</v>
      </c>
      <c r="B180" s="121" t="str">
        <f t="shared" ca="1" si="19"/>
        <v>Lesbare und verständliche Tarifauszeichnung (ja = 1; nein = 0)</v>
      </c>
      <c r="C180" s="4">
        <f t="shared" si="15"/>
        <v>177</v>
      </c>
      <c r="D180" s="233" t="s">
        <v>2708</v>
      </c>
      <c r="F180" s="228" t="str">
        <f t="shared" ca="1" si="17"/>
        <v>normale/besondere Öffnungszeitene (ja = 1; nein = 0)</v>
      </c>
      <c r="G180" s="121"/>
      <c r="H180" s="228" t="s">
        <v>344</v>
      </c>
      <c r="I180" s="228" t="s">
        <v>732</v>
      </c>
      <c r="J180" s="228" t="s">
        <v>3157</v>
      </c>
      <c r="K180" s="228" t="s">
        <v>5254</v>
      </c>
      <c r="L180" s="228" t="s">
        <v>2229</v>
      </c>
      <c r="M180" s="228" t="s">
        <v>3678</v>
      </c>
      <c r="N180" s="228" t="s">
        <v>4349</v>
      </c>
      <c r="O180" s="228" t="s">
        <v>4847</v>
      </c>
    </row>
    <row r="181" spans="1:15" ht="25" x14ac:dyDescent="0.35">
      <c r="A181" s="4">
        <f t="shared" si="21"/>
        <v>178</v>
      </c>
      <c r="B181" s="121" t="str">
        <f t="shared" ca="1" si="19"/>
        <v>Geschäftsbedingungen des Betreibers (ja = 1; nein = 0)</v>
      </c>
      <c r="C181" s="4">
        <f t="shared" si="15"/>
        <v>178</v>
      </c>
      <c r="D181" s="233" t="s">
        <v>2709</v>
      </c>
      <c r="F181" s="228" t="str">
        <f t="shared" ca="1" si="17"/>
        <v>Lesbare und verständliche Tarifauszeichnung (ja = 1; nein = 0)</v>
      </c>
      <c r="G181" s="121"/>
      <c r="H181" s="228" t="s">
        <v>345</v>
      </c>
      <c r="I181" s="228" t="s">
        <v>733</v>
      </c>
      <c r="J181" s="228" t="s">
        <v>3158</v>
      </c>
      <c r="K181" s="228" t="s">
        <v>3353</v>
      </c>
      <c r="L181" s="228" t="s">
        <v>2230</v>
      </c>
      <c r="M181" s="228" t="s">
        <v>3679</v>
      </c>
      <c r="N181" s="228" t="s">
        <v>4350</v>
      </c>
      <c r="O181" s="228" t="s">
        <v>4848</v>
      </c>
    </row>
    <row r="182" spans="1:15" ht="25" x14ac:dyDescent="0.35">
      <c r="A182" s="4">
        <f t="shared" si="21"/>
        <v>179</v>
      </c>
      <c r="B182" s="121" t="str">
        <f t="shared" ca="1" si="19"/>
        <v>Bezahlmöglichkeiten (Bezahlung an der Ausfahrt / am Kassenautomaten):</v>
      </c>
      <c r="C182" s="4">
        <f t="shared" si="15"/>
        <v>179</v>
      </c>
      <c r="D182" s="233" t="s">
        <v>2710</v>
      </c>
      <c r="F182" s="228" t="str">
        <f t="shared" ca="1" si="17"/>
        <v>Geschäftsbedingungen des Betreibers (ja = 1; nein = 0)</v>
      </c>
      <c r="G182" s="121"/>
      <c r="H182" s="228" t="s">
        <v>346</v>
      </c>
      <c r="I182" s="228" t="s">
        <v>734</v>
      </c>
      <c r="J182" s="228" t="s">
        <v>3159</v>
      </c>
      <c r="K182" s="228" t="s">
        <v>3354</v>
      </c>
      <c r="L182" s="228" t="s">
        <v>2333</v>
      </c>
      <c r="M182" s="228" t="s">
        <v>3680</v>
      </c>
      <c r="N182" s="228" t="s">
        <v>4351</v>
      </c>
      <c r="O182" s="228" t="s">
        <v>4849</v>
      </c>
    </row>
    <row r="183" spans="1:15" ht="37.5" x14ac:dyDescent="0.35">
      <c r="A183" s="4">
        <f t="shared" si="21"/>
        <v>180</v>
      </c>
      <c r="B183" s="121" t="str">
        <f t="shared" ca="1" si="19"/>
        <v>Bargeld (ja = 1; nein = 0)</v>
      </c>
      <c r="C183" s="4">
        <f t="shared" si="15"/>
        <v>180</v>
      </c>
      <c r="D183" s="233" t="s">
        <v>2727</v>
      </c>
      <c r="F183" s="228" t="str">
        <f t="shared" ca="1" si="17"/>
        <v>Bezahlmöglichkeiten (Bezahlung an der Ausfahrt / am Kassenautomaten):</v>
      </c>
      <c r="G183" s="121"/>
      <c r="H183" s="228" t="s">
        <v>2509</v>
      </c>
      <c r="I183" s="228" t="s">
        <v>644</v>
      </c>
      <c r="J183" s="228" t="s">
        <v>3160</v>
      </c>
      <c r="K183" s="228" t="s">
        <v>3355</v>
      </c>
      <c r="L183" s="228" t="s">
        <v>2231</v>
      </c>
      <c r="M183" s="228" t="s">
        <v>3681</v>
      </c>
      <c r="N183" s="228" t="s">
        <v>4352</v>
      </c>
      <c r="O183" s="228" t="s">
        <v>4850</v>
      </c>
    </row>
    <row r="184" spans="1:15" x14ac:dyDescent="0.35">
      <c r="A184" s="4">
        <f t="shared" si="21"/>
        <v>181</v>
      </c>
      <c r="B184" s="121" t="str">
        <f ca="1">IF(ISBLANK(VLOOKUP(A184,$C$4:$T$9877,1+$A$1)),F187,VLOOKUP(A184,$C$4:$T$9877,1+$A$1))</f>
        <v>Bezahlung über Smartphone (ja = 1; nein = 0)</v>
      </c>
      <c r="C184" s="4">
        <f t="shared" si="15"/>
        <v>181</v>
      </c>
      <c r="D184" s="233" t="s">
        <v>2707</v>
      </c>
      <c r="F184" s="228" t="str">
        <f t="shared" ca="1" si="17"/>
        <v>Bargeld (ja = 1; nein = 0)</v>
      </c>
      <c r="G184" s="121"/>
      <c r="H184" s="228" t="s">
        <v>2572</v>
      </c>
      <c r="I184" s="228" t="s">
        <v>2964</v>
      </c>
      <c r="J184" s="228" t="s">
        <v>3161</v>
      </c>
      <c r="K184" s="228" t="s">
        <v>3356</v>
      </c>
      <c r="L184" s="228" t="s">
        <v>3469</v>
      </c>
      <c r="M184" s="228" t="s">
        <v>3682</v>
      </c>
      <c r="N184" s="228" t="s">
        <v>4353</v>
      </c>
      <c r="O184" s="228" t="s">
        <v>4851</v>
      </c>
    </row>
    <row r="185" spans="1:15" ht="25" x14ac:dyDescent="0.35">
      <c r="B185" s="121"/>
      <c r="C185" s="4">
        <f t="shared" si="15"/>
        <v>182</v>
      </c>
      <c r="D185" s="233" t="s">
        <v>2711</v>
      </c>
      <c r="F185" s="228" t="str">
        <f t="shared" ca="1" si="17"/>
        <v>Nationale Bankkarten (ja = 1; nein = 0)</v>
      </c>
      <c r="G185" s="121"/>
      <c r="H185" s="228" t="s">
        <v>2820</v>
      </c>
      <c r="I185" s="228" t="s">
        <v>2965</v>
      </c>
      <c r="J185" s="228" t="s">
        <v>3162</v>
      </c>
      <c r="K185" s="228" t="s">
        <v>5255</v>
      </c>
      <c r="L185" s="228" t="s">
        <v>2235</v>
      </c>
      <c r="M185" s="228" t="s">
        <v>3683</v>
      </c>
      <c r="N185" s="228" t="s">
        <v>4354</v>
      </c>
      <c r="O185" s="228" t="s">
        <v>4852</v>
      </c>
    </row>
    <row r="186" spans="1:15" ht="25" x14ac:dyDescent="0.35">
      <c r="B186" s="121"/>
      <c r="C186" s="4">
        <f t="shared" si="15"/>
        <v>183</v>
      </c>
      <c r="D186" s="233" t="s">
        <v>2712</v>
      </c>
      <c r="F186" s="228" t="str">
        <f t="shared" ca="1" si="17"/>
        <v>Internationale Debit und Kreditkarten (ja = 1; nein = 0)</v>
      </c>
      <c r="G186" s="121"/>
      <c r="H186" s="228" t="s">
        <v>2821</v>
      </c>
      <c r="I186" s="228" t="s">
        <v>2966</v>
      </c>
      <c r="J186" s="228" t="s">
        <v>3163</v>
      </c>
      <c r="K186" s="228" t="s">
        <v>3357</v>
      </c>
      <c r="L186" s="228" t="s">
        <v>3470</v>
      </c>
      <c r="M186" s="228" t="s">
        <v>3684</v>
      </c>
      <c r="N186" s="228" t="s">
        <v>4355</v>
      </c>
      <c r="O186" s="228" t="s">
        <v>4853</v>
      </c>
    </row>
    <row r="187" spans="1:15" ht="25" x14ac:dyDescent="0.35">
      <c r="A187" s="4">
        <f>C187</f>
        <v>184</v>
      </c>
      <c r="B187" s="121" t="str">
        <f ca="1">IF(ISBLANK(VLOOKUP(A187,$C$4:$T$9877,1+$A$1)),F188,VLOOKUP(A187,$C$4:$T$9877,1+$A$1))</f>
        <v>andere Bezahlmöglichkeiten? Wie viele? (1 Punkt für jede zusätzliche Option, max. 3 Punkte)</v>
      </c>
      <c r="C187" s="4">
        <f t="shared" si="15"/>
        <v>184</v>
      </c>
      <c r="D187" s="233" t="s">
        <v>2713</v>
      </c>
      <c r="F187" s="228" t="str">
        <f t="shared" ca="1" si="17"/>
        <v>Bezahlung über Smartphone (ja = 1; nein = 0)</v>
      </c>
      <c r="G187" s="121"/>
      <c r="H187" s="228" t="s">
        <v>2822</v>
      </c>
      <c r="I187" s="228" t="s">
        <v>2967</v>
      </c>
      <c r="J187" s="228" t="s">
        <v>3164</v>
      </c>
      <c r="K187" s="228" t="s">
        <v>3358</v>
      </c>
      <c r="L187" s="228" t="s">
        <v>2334</v>
      </c>
      <c r="M187" s="228" t="s">
        <v>3685</v>
      </c>
      <c r="N187" s="228" t="s">
        <v>4356</v>
      </c>
      <c r="O187" s="228" t="s">
        <v>4854</v>
      </c>
    </row>
    <row r="188" spans="1:15" ht="37.5" x14ac:dyDescent="0.35">
      <c r="A188" s="4">
        <f>C188</f>
        <v>185</v>
      </c>
      <c r="B188" s="118" t="e">
        <f>IF(ISBLANK(VLOOKUP(A188,$C$4:$T$9877,1+$A$1)),#REF!,VLOOKUP(A188,$C$4:$T$9877,1+$A$1))</f>
        <v>#REF!</v>
      </c>
      <c r="C188" s="4">
        <f t="shared" si="15"/>
        <v>185</v>
      </c>
      <c r="D188" s="233" t="s">
        <v>2714</v>
      </c>
      <c r="F188" s="226" t="str">
        <f t="shared" ca="1" si="17"/>
        <v>andere Bezahlmöglichkeiten? Wie viele? (1 Punkt für jede zusätzliche Option, max. 3 Punkte)</v>
      </c>
      <c r="G188" s="118"/>
      <c r="H188" s="226" t="s">
        <v>2823</v>
      </c>
      <c r="I188" s="226" t="s">
        <v>735</v>
      </c>
      <c r="J188" s="226" t="s">
        <v>3165</v>
      </c>
      <c r="K188" s="226" t="s">
        <v>5256</v>
      </c>
      <c r="L188" s="226" t="s">
        <v>3471</v>
      </c>
      <c r="M188" s="226" t="s">
        <v>3686</v>
      </c>
      <c r="N188" s="226" t="s">
        <v>4357</v>
      </c>
      <c r="O188" s="226" t="s">
        <v>4855</v>
      </c>
    </row>
    <row r="189" spans="1:15" ht="25" x14ac:dyDescent="0.35">
      <c r="B189" s="118"/>
      <c r="C189" s="4">
        <f t="shared" ref="C189:C252" si="22">+C188+1</f>
        <v>186</v>
      </c>
      <c r="D189" s="233" t="s">
        <v>2719</v>
      </c>
      <c r="F189" s="226" t="str">
        <f t="shared" ca="1" si="17"/>
        <v xml:space="preserve">Bezahlmöglichkeiten an der Ausfahrt: </v>
      </c>
      <c r="G189" s="118"/>
      <c r="H189" s="226" t="s">
        <v>2573</v>
      </c>
      <c r="I189" s="226" t="s">
        <v>2968</v>
      </c>
      <c r="J189" s="226" t="s">
        <v>3166</v>
      </c>
      <c r="K189" s="226" t="s">
        <v>3359</v>
      </c>
      <c r="L189" s="226" t="s">
        <v>3472</v>
      </c>
      <c r="M189" s="226" t="s">
        <v>3687</v>
      </c>
      <c r="N189" s="226" t="s">
        <v>4358</v>
      </c>
      <c r="O189" s="226" t="s">
        <v>4856</v>
      </c>
    </row>
    <row r="190" spans="1:15" ht="25" x14ac:dyDescent="0.35">
      <c r="B190" s="118"/>
      <c r="C190" s="4">
        <f t="shared" si="22"/>
        <v>187</v>
      </c>
      <c r="D190" s="233" t="s">
        <v>2715</v>
      </c>
      <c r="F190" s="226" t="str">
        <f t="shared" ca="1" si="17"/>
        <v>Nationale Bankkarten (ja = 1; nein = 0)</v>
      </c>
      <c r="G190" s="118"/>
      <c r="H190" s="226" t="s">
        <v>2574</v>
      </c>
      <c r="I190" s="226" t="s">
        <v>2965</v>
      </c>
      <c r="J190" s="226" t="s">
        <v>3167</v>
      </c>
      <c r="K190" s="226" t="s">
        <v>5255</v>
      </c>
      <c r="L190" s="226" t="s">
        <v>2235</v>
      </c>
      <c r="M190" s="226" t="s">
        <v>3688</v>
      </c>
      <c r="N190" s="226" t="s">
        <v>4359</v>
      </c>
      <c r="O190" s="226" t="s">
        <v>4857</v>
      </c>
    </row>
    <row r="191" spans="1:15" ht="25" x14ac:dyDescent="0.35">
      <c r="B191" s="118"/>
      <c r="C191" s="4">
        <f t="shared" si="22"/>
        <v>188</v>
      </c>
      <c r="D191" s="233" t="s">
        <v>2838</v>
      </c>
      <c r="F191" s="226" t="str">
        <f t="shared" ca="1" si="17"/>
        <v>Internationale Debit und Kreditkarten (ja = 1; nein = 0)</v>
      </c>
      <c r="G191" s="118"/>
      <c r="H191" s="226" t="s">
        <v>2575</v>
      </c>
      <c r="I191" s="226" t="s">
        <v>2966</v>
      </c>
      <c r="J191" s="226" t="s">
        <v>3168</v>
      </c>
      <c r="K191" s="226" t="s">
        <v>3357</v>
      </c>
      <c r="L191" s="226" t="s">
        <v>3470</v>
      </c>
      <c r="M191" s="226" t="s">
        <v>3689</v>
      </c>
      <c r="N191" s="226" t="s">
        <v>4360</v>
      </c>
      <c r="O191" s="226" t="s">
        <v>4858</v>
      </c>
    </row>
    <row r="192" spans="1:15" ht="37.5" x14ac:dyDescent="0.35">
      <c r="B192" s="118"/>
      <c r="C192" s="4">
        <f t="shared" si="22"/>
        <v>189</v>
      </c>
      <c r="D192" s="233" t="s">
        <v>2839</v>
      </c>
      <c r="F192" s="226" t="str">
        <f t="shared" ca="1" si="17"/>
        <v>Kennzeichenerkennung verbunden mit einem Kunden-/Bankkonto oder einer App (ja = 1; nein = 0)</v>
      </c>
      <c r="G192" s="118"/>
      <c r="H192" s="226" t="s">
        <v>2576</v>
      </c>
      <c r="I192" s="226" t="s">
        <v>2969</v>
      </c>
      <c r="J192" s="226" t="s">
        <v>3169</v>
      </c>
      <c r="K192" s="226" t="s">
        <v>5257</v>
      </c>
      <c r="L192" s="226" t="s">
        <v>3473</v>
      </c>
      <c r="M192" s="226" t="s">
        <v>3690</v>
      </c>
      <c r="N192" s="226" t="s">
        <v>4361</v>
      </c>
      <c r="O192" s="226" t="s">
        <v>4859</v>
      </c>
    </row>
    <row r="193" spans="2:15" ht="37.5" x14ac:dyDescent="0.35">
      <c r="B193" s="118"/>
      <c r="C193" s="4">
        <f t="shared" si="22"/>
        <v>190</v>
      </c>
      <c r="D193" s="233" t="s">
        <v>2840</v>
      </c>
      <c r="F193" s="226" t="str">
        <f t="shared" ca="1" si="17"/>
        <v>RFID Einheit verbunden mit einem Kunden-/Bankkonto oder einer App (ja = 1; nein = 0)</v>
      </c>
      <c r="G193" s="118"/>
      <c r="H193" s="226" t="s">
        <v>2577</v>
      </c>
      <c r="I193" s="226" t="s">
        <v>2970</v>
      </c>
      <c r="J193" s="226" t="s">
        <v>3170</v>
      </c>
      <c r="K193" s="226" t="s">
        <v>5258</v>
      </c>
      <c r="L193" s="226" t="s">
        <v>3474</v>
      </c>
      <c r="M193" s="226" t="s">
        <v>3691</v>
      </c>
      <c r="N193" s="226" t="s">
        <v>4362</v>
      </c>
      <c r="O193" s="226" t="s">
        <v>4860</v>
      </c>
    </row>
    <row r="194" spans="2:15" ht="37.5" x14ac:dyDescent="0.35">
      <c r="B194" s="118"/>
      <c r="C194" s="4">
        <f t="shared" si="22"/>
        <v>191</v>
      </c>
      <c r="D194" s="233" t="s">
        <v>2841</v>
      </c>
      <c r="F194" s="226" t="str">
        <f t="shared" ca="1" si="17"/>
        <v>Akzeptanz eines nationalen allgemeinen Verkehrsdienstes (z.B. Mautsystem, Öffentlicher Verkehr) (ja = 1 ; nein = 0)</v>
      </c>
      <c r="G194" s="118"/>
      <c r="H194" s="226" t="s">
        <v>2578</v>
      </c>
      <c r="I194" s="226" t="s">
        <v>2971</v>
      </c>
      <c r="J194" s="226" t="s">
        <v>4066</v>
      </c>
      <c r="K194" s="226" t="s">
        <v>5259</v>
      </c>
      <c r="L194" s="226" t="s">
        <v>3475</v>
      </c>
      <c r="M194" s="226" t="s">
        <v>3692</v>
      </c>
      <c r="N194" s="226" t="s">
        <v>4363</v>
      </c>
      <c r="O194" s="226" t="s">
        <v>4861</v>
      </c>
    </row>
    <row r="195" spans="2:15" ht="25" x14ac:dyDescent="0.35">
      <c r="B195" s="118"/>
      <c r="C195" s="4">
        <f t="shared" si="22"/>
        <v>192</v>
      </c>
      <c r="D195" s="233" t="s">
        <v>2842</v>
      </c>
      <c r="F195" s="226" t="str">
        <f t="shared" ca="1" si="17"/>
        <v>Bezahlung über Smartphone (ja = 1; nein = 0)</v>
      </c>
      <c r="G195" s="118"/>
      <c r="H195" s="226" t="s">
        <v>2579</v>
      </c>
      <c r="I195" s="226" t="s">
        <v>2967</v>
      </c>
      <c r="J195" s="226" t="s">
        <v>3171</v>
      </c>
      <c r="K195" s="226" t="s">
        <v>3358</v>
      </c>
      <c r="L195" s="226" t="s">
        <v>2334</v>
      </c>
      <c r="M195" s="226" t="s">
        <v>3693</v>
      </c>
      <c r="N195" s="226" t="s">
        <v>4364</v>
      </c>
      <c r="O195" s="226" t="s">
        <v>4862</v>
      </c>
    </row>
    <row r="196" spans="2:15" ht="112.5" x14ac:dyDescent="0.35">
      <c r="B196" s="118"/>
      <c r="C196" s="4">
        <f t="shared" si="22"/>
        <v>193</v>
      </c>
      <c r="D196" s="233" t="s">
        <v>65</v>
      </c>
      <c r="F196" s="226" t="str">
        <f t="shared" ca="1" si="17"/>
        <v>Schrankenöffnung an der Einfahrt startet automatisch eine ticketlose Transaktion mit automatischer Bezahlung: Steuerung über App, angeschlossen an ein Bezahlmittel ja = 1, nein = 0; bei Einsatz einer Kennzeichenerkennung: 1 Punkt zusätzlich</v>
      </c>
      <c r="G196" s="118"/>
      <c r="H196" s="384" t="s">
        <v>2843</v>
      </c>
      <c r="I196" s="226" t="s">
        <v>2972</v>
      </c>
      <c r="J196" s="226" t="s">
        <v>3172</v>
      </c>
      <c r="K196" s="226" t="s">
        <v>5260</v>
      </c>
      <c r="L196" s="226" t="s">
        <v>3476</v>
      </c>
      <c r="M196" s="226" t="s">
        <v>3694</v>
      </c>
      <c r="N196" s="226" t="s">
        <v>4365</v>
      </c>
      <c r="O196" s="226" t="s">
        <v>4863</v>
      </c>
    </row>
    <row r="197" spans="2:15" x14ac:dyDescent="0.35">
      <c r="B197" s="118"/>
      <c r="C197" s="4">
        <f t="shared" si="22"/>
        <v>194</v>
      </c>
      <c r="D197" s="233" t="s">
        <v>2914</v>
      </c>
      <c r="F197" s="226" t="str">
        <f t="shared" ca="1" si="17"/>
        <v>Bezahlpunkte</v>
      </c>
      <c r="G197" s="118"/>
      <c r="H197" s="384" t="s">
        <v>2915</v>
      </c>
      <c r="I197" s="226" t="s">
        <v>2973</v>
      </c>
      <c r="J197" s="226" t="s">
        <v>3173</v>
      </c>
      <c r="K197" s="226" t="s">
        <v>3360</v>
      </c>
      <c r="L197" s="226" t="s">
        <v>3477</v>
      </c>
      <c r="M197" s="226" t="s">
        <v>3695</v>
      </c>
      <c r="N197" s="226" t="s">
        <v>4366</v>
      </c>
      <c r="O197" s="226" t="s">
        <v>2915</v>
      </c>
    </row>
    <row r="198" spans="2:15" ht="25" x14ac:dyDescent="0.35">
      <c r="B198" s="118"/>
      <c r="C198" s="4">
        <f t="shared" si="22"/>
        <v>195</v>
      </c>
      <c r="D198" s="233" t="s">
        <v>2716</v>
      </c>
      <c r="F198" s="226" t="str">
        <f t="shared" ca="1" si="17"/>
        <v>Bewirtschaftung mit Parkscheinautomaten (Pay &amp; Display)?</v>
      </c>
      <c r="G198" s="118"/>
      <c r="H198" s="228" t="s">
        <v>361</v>
      </c>
      <c r="I198" s="226" t="s">
        <v>645</v>
      </c>
      <c r="J198" s="226" t="s">
        <v>3174</v>
      </c>
      <c r="K198" s="226" t="s">
        <v>3361</v>
      </c>
      <c r="L198" s="226" t="s">
        <v>2240</v>
      </c>
      <c r="M198" s="226" t="s">
        <v>3696</v>
      </c>
      <c r="N198" s="226" t="s">
        <v>4367</v>
      </c>
      <c r="O198" s="226" t="s">
        <v>361</v>
      </c>
    </row>
    <row r="199" spans="2:15" ht="100" x14ac:dyDescent="0.35">
      <c r="B199" s="118"/>
      <c r="C199" s="4">
        <f t="shared" si="22"/>
        <v>196</v>
      </c>
      <c r="D199" s="233" t="s">
        <v>2717</v>
      </c>
      <c r="F199" s="226" t="str">
        <f t="shared" ca="1" si="17"/>
        <v>Anzahl der Bezahlmöglichkeiten in einer Parkeinrichtung mit Schrankenanlage (eine Bezahlmöglichkeit = 0; mehr als eine = 1; eine an jedem Zugang für Fußgänger außer Notausgänge = 2; mehr als einer an jedem Zugang für Fußgänger = 3)</v>
      </c>
      <c r="G199" s="118"/>
      <c r="H199" s="228" t="s">
        <v>538</v>
      </c>
      <c r="I199" s="226" t="s">
        <v>736</v>
      </c>
      <c r="J199" s="226" t="s">
        <v>3175</v>
      </c>
      <c r="K199" s="226" t="s">
        <v>5261</v>
      </c>
      <c r="L199" s="226" t="s">
        <v>2241</v>
      </c>
      <c r="M199" s="226" t="s">
        <v>3697</v>
      </c>
      <c r="N199" s="226" t="s">
        <v>4368</v>
      </c>
      <c r="O199" s="226" t="s">
        <v>4864</v>
      </c>
    </row>
    <row r="200" spans="2:15" ht="62.5" x14ac:dyDescent="0.35">
      <c r="B200" s="118"/>
      <c r="C200" s="4">
        <f t="shared" si="22"/>
        <v>197</v>
      </c>
      <c r="D200" s="233" t="s">
        <v>2718</v>
      </c>
      <c r="F200" s="226" t="str">
        <f t="shared" ca="1" si="17"/>
        <v>Anzahl der Bezahlmöglichkeien in einer Parkeinrichtung mit Parkscheinautomaten (1 = 0; &lt; 1 pro 50 Stellplätze = 2; &gt; 1 pro 50 Stellplätze = 3)</v>
      </c>
      <c r="G200" s="118"/>
      <c r="H200" s="228" t="s">
        <v>365</v>
      </c>
      <c r="I200" s="226" t="s">
        <v>737</v>
      </c>
      <c r="J200" s="226" t="s">
        <v>3176</v>
      </c>
      <c r="K200" s="226" t="s">
        <v>5262</v>
      </c>
      <c r="L200" s="226" t="s">
        <v>2242</v>
      </c>
      <c r="M200" s="226" t="s">
        <v>3698</v>
      </c>
      <c r="N200" s="226" t="s">
        <v>4369</v>
      </c>
      <c r="O200" s="226" t="s">
        <v>4865</v>
      </c>
    </row>
    <row r="201" spans="2:15" x14ac:dyDescent="0.35">
      <c r="B201" s="118"/>
      <c r="C201" s="4">
        <f t="shared" si="22"/>
        <v>198</v>
      </c>
      <c r="D201" s="233" t="s">
        <v>2720</v>
      </c>
      <c r="F201" s="226" t="str">
        <f t="shared" ca="1" si="17"/>
        <v>Kunden-WC:</v>
      </c>
      <c r="G201" s="118"/>
      <c r="H201" s="228" t="s">
        <v>369</v>
      </c>
      <c r="I201" s="226" t="s">
        <v>646</v>
      </c>
      <c r="J201" s="226" t="s">
        <v>1088</v>
      </c>
      <c r="K201" s="226" t="s">
        <v>3362</v>
      </c>
      <c r="L201" s="226" t="s">
        <v>2243</v>
      </c>
      <c r="M201" s="226" t="s">
        <v>3699</v>
      </c>
      <c r="N201" s="226" t="s">
        <v>4370</v>
      </c>
      <c r="O201" s="226" t="s">
        <v>4866</v>
      </c>
    </row>
    <row r="202" spans="2:15" x14ac:dyDescent="0.35">
      <c r="B202" s="118"/>
      <c r="C202" s="4">
        <f t="shared" si="22"/>
        <v>199</v>
      </c>
      <c r="D202" s="233" t="s">
        <v>2721</v>
      </c>
      <c r="F202" s="226" t="str">
        <f t="shared" ca="1" si="17"/>
        <v>Vorhanden (ja =2; nein = 0)</v>
      </c>
      <c r="G202" s="118"/>
      <c r="H202" s="228" t="s">
        <v>370</v>
      </c>
      <c r="I202" s="226" t="s">
        <v>738</v>
      </c>
      <c r="J202" s="226" t="s">
        <v>1089</v>
      </c>
      <c r="K202" s="226" t="s">
        <v>3363</v>
      </c>
      <c r="L202" s="226" t="s">
        <v>2244</v>
      </c>
      <c r="M202" s="226" t="s">
        <v>3700</v>
      </c>
      <c r="N202" s="226" t="s">
        <v>4371</v>
      </c>
      <c r="O202" s="226" t="s">
        <v>4867</v>
      </c>
    </row>
    <row r="203" spans="2:15" ht="25" x14ac:dyDescent="0.35">
      <c r="B203" s="118"/>
      <c r="C203" s="4">
        <f t="shared" si="22"/>
        <v>200</v>
      </c>
      <c r="D203" s="233" t="s">
        <v>2722</v>
      </c>
      <c r="F203" s="226" t="str">
        <f t="shared" ca="1" si="17"/>
        <v>Barrierefreie Toilette (ja = 1; nein = 0)</v>
      </c>
      <c r="G203" s="118"/>
      <c r="H203" s="228" t="s">
        <v>371</v>
      </c>
      <c r="I203" s="226" t="s">
        <v>739</v>
      </c>
      <c r="J203" s="226" t="s">
        <v>3177</v>
      </c>
      <c r="K203" s="226" t="s">
        <v>3364</v>
      </c>
      <c r="L203" s="226" t="s">
        <v>2245</v>
      </c>
      <c r="M203" s="226" t="s">
        <v>3701</v>
      </c>
      <c r="N203" s="226" t="s">
        <v>4372</v>
      </c>
      <c r="O203" s="226" t="s">
        <v>4868</v>
      </c>
    </row>
    <row r="204" spans="2:15" ht="25" x14ac:dyDescent="0.35">
      <c r="B204" s="118"/>
      <c r="C204" s="4">
        <f t="shared" si="22"/>
        <v>201</v>
      </c>
      <c r="D204" s="233" t="s">
        <v>2723</v>
      </c>
      <c r="F204" s="226" t="str">
        <f t="shared" ca="1" si="17"/>
        <v>genderneutrale Toilette = 0; Frauen / Männer getrennt = 1</v>
      </c>
      <c r="G204" s="118"/>
      <c r="H204" s="228" t="s">
        <v>372</v>
      </c>
      <c r="I204" s="226" t="s">
        <v>740</v>
      </c>
      <c r="J204" s="226" t="s">
        <v>3178</v>
      </c>
      <c r="K204" s="226" t="s">
        <v>3365</v>
      </c>
      <c r="L204" s="226" t="s">
        <v>2246</v>
      </c>
      <c r="M204" s="226" t="s">
        <v>3702</v>
      </c>
      <c r="N204" s="226" t="s">
        <v>4373</v>
      </c>
      <c r="O204" s="226" t="s">
        <v>4869</v>
      </c>
    </row>
    <row r="205" spans="2:15" ht="25" x14ac:dyDescent="0.35">
      <c r="B205" s="118"/>
      <c r="C205" s="4">
        <f t="shared" si="22"/>
        <v>202</v>
      </c>
      <c r="D205" s="233" t="s">
        <v>2844</v>
      </c>
      <c r="F205" s="226" t="str">
        <f t="shared" ca="1" si="17"/>
        <v>Personalanwesenheit: ja = 1; nein = 0</v>
      </c>
      <c r="G205" s="118"/>
      <c r="H205" s="228" t="s">
        <v>375</v>
      </c>
      <c r="I205" s="226" t="s">
        <v>741</v>
      </c>
      <c r="J205" s="226" t="s">
        <v>3179</v>
      </c>
      <c r="K205" s="226" t="s">
        <v>3366</v>
      </c>
      <c r="L205" s="226" t="s">
        <v>2247</v>
      </c>
      <c r="M205" s="226" t="s">
        <v>3703</v>
      </c>
      <c r="N205" s="226" t="s">
        <v>4374</v>
      </c>
      <c r="O205" s="226" t="s">
        <v>4870</v>
      </c>
    </row>
    <row r="206" spans="2:15" x14ac:dyDescent="0.35">
      <c r="B206" s="118"/>
      <c r="C206" s="4">
        <f t="shared" si="22"/>
        <v>203</v>
      </c>
      <c r="D206" s="233" t="s">
        <v>2724</v>
      </c>
      <c r="F206" s="226" t="str">
        <f t="shared" ca="1" si="17"/>
        <v>Einsatz von Farben / Verschönerung</v>
      </c>
      <c r="G206" s="118"/>
      <c r="H206" s="228" t="s">
        <v>2510</v>
      </c>
      <c r="I206" s="226" t="s">
        <v>647</v>
      </c>
      <c r="J206" s="226" t="s">
        <v>3180</v>
      </c>
      <c r="K206" s="226" t="s">
        <v>3367</v>
      </c>
      <c r="L206" s="226" t="s">
        <v>2248</v>
      </c>
      <c r="M206" s="226" t="s">
        <v>3704</v>
      </c>
      <c r="N206" s="226" t="s">
        <v>4375</v>
      </c>
      <c r="O206" s="226" t="s">
        <v>4871</v>
      </c>
    </row>
    <row r="207" spans="2:15" ht="25" x14ac:dyDescent="0.35">
      <c r="B207" s="118"/>
      <c r="C207" s="4">
        <f t="shared" si="22"/>
        <v>204</v>
      </c>
      <c r="D207" s="233" t="s">
        <v>2725</v>
      </c>
      <c r="F207" s="226" t="str">
        <f t="shared" ca="1" si="17"/>
        <v>Farbige Säulen = 1; nein/betongrau = 0</v>
      </c>
      <c r="G207" s="118"/>
      <c r="H207" s="228" t="s">
        <v>377</v>
      </c>
      <c r="I207" s="226" t="s">
        <v>648</v>
      </c>
      <c r="J207" s="226" t="s">
        <v>3181</v>
      </c>
      <c r="K207" s="226" t="s">
        <v>3368</v>
      </c>
      <c r="L207" s="226" t="s">
        <v>2249</v>
      </c>
      <c r="M207" s="226" t="s">
        <v>3705</v>
      </c>
      <c r="N207" s="226" t="s">
        <v>4376</v>
      </c>
      <c r="O207" s="226" t="s">
        <v>4872</v>
      </c>
    </row>
    <row r="208" spans="2:15" ht="25" x14ac:dyDescent="0.35">
      <c r="B208" s="118"/>
      <c r="C208" s="4">
        <f t="shared" si="22"/>
        <v>205</v>
      </c>
      <c r="D208" s="233" t="s">
        <v>2726</v>
      </c>
      <c r="F208" s="226" t="str">
        <f t="shared" ca="1" si="17"/>
        <v>Farbige Wände = 1; nein/betongrau = 0</v>
      </c>
      <c r="G208" s="118"/>
      <c r="H208" s="228" t="s">
        <v>378</v>
      </c>
      <c r="I208" s="226" t="s">
        <v>649</v>
      </c>
      <c r="J208" s="226" t="s">
        <v>3182</v>
      </c>
      <c r="K208" s="226" t="s">
        <v>3369</v>
      </c>
      <c r="L208" s="226" t="s">
        <v>2250</v>
      </c>
      <c r="M208" s="226" t="s">
        <v>3706</v>
      </c>
      <c r="N208" s="226" t="s">
        <v>4377</v>
      </c>
      <c r="O208" s="226" t="s">
        <v>4873</v>
      </c>
    </row>
    <row r="209" spans="1:15" x14ac:dyDescent="0.35">
      <c r="B209" s="118"/>
      <c r="C209" s="4">
        <f t="shared" si="22"/>
        <v>206</v>
      </c>
      <c r="D209" s="233" t="s">
        <v>2845</v>
      </c>
      <c r="F209" s="226" t="str">
        <f t="shared" ca="1" si="17"/>
        <v>Zusätzliche verschönernde Element:</v>
      </c>
      <c r="G209" s="118"/>
      <c r="H209" s="228" t="s">
        <v>2511</v>
      </c>
      <c r="I209" s="226" t="s">
        <v>650</v>
      </c>
      <c r="J209" s="226" t="s">
        <v>1096</v>
      </c>
      <c r="K209" s="226" t="s">
        <v>5263</v>
      </c>
      <c r="L209" s="226" t="s">
        <v>2251</v>
      </c>
      <c r="M209" s="226" t="s">
        <v>3707</v>
      </c>
      <c r="N209" s="226" t="s">
        <v>4378</v>
      </c>
      <c r="O209" s="226" t="s">
        <v>4874</v>
      </c>
    </row>
    <row r="210" spans="1:15" x14ac:dyDescent="0.35">
      <c r="B210" s="118"/>
      <c r="C210" s="4">
        <f t="shared" si="22"/>
        <v>207</v>
      </c>
      <c r="D210" s="233" t="s">
        <v>2846</v>
      </c>
      <c r="F210" s="226" t="str">
        <f t="shared" ca="1" si="17"/>
        <v>Kunst (ja = 2; nein = 0)</v>
      </c>
      <c r="G210" s="118"/>
      <c r="H210" s="228" t="s">
        <v>384</v>
      </c>
      <c r="I210" s="226" t="s">
        <v>651</v>
      </c>
      <c r="J210" s="226" t="s">
        <v>3183</v>
      </c>
      <c r="K210" s="226" t="s">
        <v>3370</v>
      </c>
      <c r="L210" s="226" t="s">
        <v>2335</v>
      </c>
      <c r="M210" s="226" t="s">
        <v>3708</v>
      </c>
      <c r="N210" s="226" t="s">
        <v>4379</v>
      </c>
      <c r="O210" s="226" t="s">
        <v>4875</v>
      </c>
    </row>
    <row r="211" spans="1:15" x14ac:dyDescent="0.35">
      <c r="B211" s="118"/>
      <c r="C211" s="4">
        <f t="shared" si="22"/>
        <v>208</v>
      </c>
      <c r="D211" s="233" t="s">
        <v>2847</v>
      </c>
      <c r="F211" s="226" t="str">
        <f t="shared" ca="1" si="17"/>
        <v>Pflanzen (ja = 1; nein = 0)</v>
      </c>
      <c r="G211" s="118"/>
      <c r="H211" s="228" t="s">
        <v>383</v>
      </c>
      <c r="I211" s="226" t="s">
        <v>652</v>
      </c>
      <c r="J211" s="226" t="s">
        <v>1098</v>
      </c>
      <c r="K211" s="226" t="s">
        <v>3371</v>
      </c>
      <c r="L211" s="226" t="s">
        <v>2252</v>
      </c>
      <c r="M211" s="226" t="s">
        <v>3709</v>
      </c>
      <c r="N211" s="226" t="s">
        <v>4380</v>
      </c>
      <c r="O211" s="226" t="s">
        <v>4876</v>
      </c>
    </row>
    <row r="212" spans="1:15" x14ac:dyDescent="0.35">
      <c r="B212" s="118"/>
      <c r="C212" s="4">
        <f t="shared" si="22"/>
        <v>209</v>
      </c>
      <c r="D212" s="233" t="s">
        <v>2848</v>
      </c>
      <c r="F212" s="226" t="str">
        <f t="shared" ca="1" si="17"/>
        <v>sonstiges (ja = 1; nein =0)</v>
      </c>
      <c r="G212" s="118"/>
      <c r="H212" s="228" t="s">
        <v>385</v>
      </c>
      <c r="I212" s="226" t="s">
        <v>653</v>
      </c>
      <c r="J212" s="226" t="s">
        <v>3184</v>
      </c>
      <c r="K212" s="226" t="s">
        <v>3372</v>
      </c>
      <c r="L212" s="226" t="s">
        <v>2253</v>
      </c>
      <c r="M212" s="226" t="s">
        <v>3710</v>
      </c>
      <c r="N212" s="226" t="s">
        <v>4381</v>
      </c>
      <c r="O212" s="226" t="s">
        <v>4877</v>
      </c>
    </row>
    <row r="213" spans="1:15" ht="29" x14ac:dyDescent="0.35">
      <c r="A213" s="4">
        <f t="shared" ref="A213:A220" si="23">C213</f>
        <v>210</v>
      </c>
      <c r="B213" s="116" t="str">
        <f ca="1">IF(ISBLANK(VLOOKUP(A213,$C$4:$T$9877,1+$A$1)),F214,VLOOKUP(A213,$C$4:$T$9877,1+$A$1))</f>
        <v>Radioempfang (ja = 1; nein = 0)</v>
      </c>
      <c r="C213" s="4">
        <f t="shared" si="22"/>
        <v>210</v>
      </c>
      <c r="D213" s="233" t="s">
        <v>70</v>
      </c>
      <c r="F213" s="222" t="str">
        <f t="shared" ref="F213:F265" ca="1" si="24">OFFSET(G213,0,$C$1)</f>
        <v>Mobilfunkabdeckung (ja = 2; nein = 0)</v>
      </c>
      <c r="G213" s="116"/>
      <c r="H213" s="222" t="s">
        <v>386</v>
      </c>
      <c r="I213" s="222" t="s">
        <v>742</v>
      </c>
      <c r="J213" s="222" t="s">
        <v>3185</v>
      </c>
      <c r="K213" s="222" t="s">
        <v>3373</v>
      </c>
      <c r="L213" s="222" t="s">
        <v>2254</v>
      </c>
      <c r="M213" s="222" t="s">
        <v>3711</v>
      </c>
      <c r="N213" s="222" t="s">
        <v>4382</v>
      </c>
      <c r="O213" s="222" t="s">
        <v>4878</v>
      </c>
    </row>
    <row r="214" spans="1:15" ht="29" x14ac:dyDescent="0.35">
      <c r="A214" s="4">
        <f t="shared" si="23"/>
        <v>211</v>
      </c>
      <c r="B214" s="116" t="str">
        <f ca="1">IF(ISBLANK(VLOOKUP(A214,$C$4:$T$9877,1+$A$1)),F215,VLOOKUP(A214,$C$4:$T$9877,1+$A$1))</f>
        <v>Musik</v>
      </c>
      <c r="C214" s="4">
        <f t="shared" si="22"/>
        <v>211</v>
      </c>
      <c r="D214" s="233" t="s">
        <v>71</v>
      </c>
      <c r="F214" s="222" t="str">
        <f t="shared" ca="1" si="24"/>
        <v>Radioempfang (ja = 1; nein = 0)</v>
      </c>
      <c r="G214" s="116"/>
      <c r="H214" s="222" t="s">
        <v>387</v>
      </c>
      <c r="I214" s="222" t="s">
        <v>743</v>
      </c>
      <c r="J214" s="222" t="s">
        <v>3186</v>
      </c>
      <c r="K214" s="222" t="s">
        <v>3374</v>
      </c>
      <c r="L214" s="222" t="s">
        <v>2255</v>
      </c>
      <c r="M214" s="222" t="s">
        <v>3712</v>
      </c>
      <c r="N214" s="222" t="s">
        <v>4383</v>
      </c>
      <c r="O214" s="222" t="s">
        <v>4879</v>
      </c>
    </row>
    <row r="215" spans="1:15" x14ac:dyDescent="0.35">
      <c r="A215" s="4">
        <f t="shared" si="23"/>
        <v>212</v>
      </c>
      <c r="B215" s="116" t="str">
        <f ca="1">IF(ISBLANK(VLOOKUP(A215,$C$4:$T$9877,1+$A$1)),F216,VLOOKUP(A215,$C$4:$T$9877,1+$A$1))</f>
        <v>Hintergrundmusik (ja = 2; nein = 0)</v>
      </c>
      <c r="C215" s="4">
        <f t="shared" si="22"/>
        <v>212</v>
      </c>
      <c r="D215" s="233" t="s">
        <v>2729</v>
      </c>
      <c r="F215" s="222" t="str">
        <f t="shared" ca="1" si="24"/>
        <v>Musik</v>
      </c>
      <c r="G215" s="116"/>
      <c r="H215" s="222" t="s">
        <v>390</v>
      </c>
      <c r="I215" s="222" t="s">
        <v>654</v>
      </c>
      <c r="J215" s="222" t="s">
        <v>1102</v>
      </c>
      <c r="K215" s="222" t="s">
        <v>1572</v>
      </c>
      <c r="L215" s="222" t="s">
        <v>2027</v>
      </c>
      <c r="M215" s="222" t="s">
        <v>3713</v>
      </c>
      <c r="N215" s="222" t="s">
        <v>4384</v>
      </c>
      <c r="O215" s="222" t="s">
        <v>4880</v>
      </c>
    </row>
    <row r="216" spans="1:15" ht="29" x14ac:dyDescent="0.35">
      <c r="A216" s="4">
        <f t="shared" si="23"/>
        <v>213</v>
      </c>
      <c r="B216" s="116" t="str">
        <f ca="1">IF(ISBLANK(VLOOKUP(A216,$C$4:$T$9877,1+$A$1)),F217,VLOOKUP(A216,$C$4:$T$9877,1+$A$1))</f>
        <v>Differenzierung zur Orientierung (ja = 1; nein = 0)</v>
      </c>
      <c r="C216" s="4">
        <f t="shared" si="22"/>
        <v>213</v>
      </c>
      <c r="D216" s="233" t="s">
        <v>2732</v>
      </c>
      <c r="F216" s="222" t="str">
        <f t="shared" ca="1" si="24"/>
        <v>Hintergrundmusik (ja = 2; nein = 0)</v>
      </c>
      <c r="G216" s="116"/>
      <c r="H216" s="222" t="s">
        <v>388</v>
      </c>
      <c r="I216" s="222" t="s">
        <v>744</v>
      </c>
      <c r="J216" s="222" t="s">
        <v>1103</v>
      </c>
      <c r="K216" s="222" t="s">
        <v>5264</v>
      </c>
      <c r="L216" s="222" t="s">
        <v>2256</v>
      </c>
      <c r="M216" s="222" t="s">
        <v>3714</v>
      </c>
      <c r="N216" s="222" t="s">
        <v>4385</v>
      </c>
      <c r="O216" s="222" t="s">
        <v>4881</v>
      </c>
    </row>
    <row r="217" spans="1:15" ht="43.5" x14ac:dyDescent="0.35">
      <c r="A217" s="4">
        <f t="shared" si="23"/>
        <v>214</v>
      </c>
      <c r="B217" s="116" t="e">
        <f>IF(ISBLANK(VLOOKUP(A217,$C$4:$T$9877,1+$A$1)),#REF!,VLOOKUP(A217,$C$4:$T$9877,1+$A$1))</f>
        <v>#REF!</v>
      </c>
      <c r="C217" s="4">
        <f t="shared" si="22"/>
        <v>214</v>
      </c>
      <c r="D217" s="233" t="s">
        <v>2733</v>
      </c>
      <c r="F217" s="222" t="str">
        <f t="shared" ca="1" si="24"/>
        <v>Differenzierung zur Orientierung (ja = 1; nein = 0)</v>
      </c>
      <c r="G217" s="116"/>
      <c r="H217" s="222" t="s">
        <v>389</v>
      </c>
      <c r="I217" s="222" t="s">
        <v>745</v>
      </c>
      <c r="J217" s="222" t="s">
        <v>3187</v>
      </c>
      <c r="K217" s="222" t="s">
        <v>5265</v>
      </c>
      <c r="L217" s="222" t="s">
        <v>2336</v>
      </c>
      <c r="M217" s="222" t="s">
        <v>3715</v>
      </c>
      <c r="N217" s="222" t="s">
        <v>4386</v>
      </c>
      <c r="O217" s="222" t="s">
        <v>4882</v>
      </c>
    </row>
    <row r="218" spans="1:15" x14ac:dyDescent="0.35">
      <c r="B218" s="116"/>
      <c r="C218" s="4">
        <f t="shared" si="22"/>
        <v>215</v>
      </c>
      <c r="D218" s="233" t="s">
        <v>2849</v>
      </c>
      <c r="F218" s="222" t="str">
        <f t="shared" ca="1" si="24"/>
        <v>Mülleimer</v>
      </c>
      <c r="G218" s="116"/>
      <c r="H218" s="222" t="s">
        <v>2728</v>
      </c>
      <c r="I218" s="222" t="s">
        <v>2974</v>
      </c>
      <c r="J218" s="222" t="s">
        <v>3188</v>
      </c>
      <c r="K218" s="222" t="s">
        <v>5266</v>
      </c>
      <c r="L218" s="222" t="s">
        <v>3478</v>
      </c>
      <c r="M218" s="222" t="s">
        <v>3716</v>
      </c>
      <c r="N218" s="222" t="s">
        <v>4387</v>
      </c>
      <c r="O218" s="222" t="s">
        <v>4883</v>
      </c>
    </row>
    <row r="219" spans="1:15" ht="29" x14ac:dyDescent="0.35">
      <c r="A219" s="4">
        <f t="shared" si="23"/>
        <v>216</v>
      </c>
      <c r="B219" s="116" t="str">
        <f t="shared" ref="B219:B236" ca="1" si="25">IF(ISBLANK(VLOOKUP(A219,$C$4:$T$9877,1+$A$1)),F220,VLOOKUP(A219,$C$4:$T$9877,1+$A$1))</f>
        <v>Mülleimer in den Parkbereichen (&gt; 1 pro 100 stellplätze): ja = 1; nein = 0</v>
      </c>
      <c r="C219" s="4">
        <f t="shared" si="22"/>
        <v>216</v>
      </c>
      <c r="D219" s="233" t="s">
        <v>2850</v>
      </c>
      <c r="F219" s="222" t="str">
        <f t="shared" ca="1" si="24"/>
        <v>Mülleimer an den Fußgängerzugängen / Treppenhäusern (ja = 1; nein = 0)</v>
      </c>
      <c r="G219" s="116"/>
      <c r="H219" s="222" t="s">
        <v>2580</v>
      </c>
      <c r="I219" s="222" t="s">
        <v>2975</v>
      </c>
      <c r="J219" s="222" t="s">
        <v>3189</v>
      </c>
      <c r="K219" s="222" t="s">
        <v>5267</v>
      </c>
      <c r="L219" s="222" t="s">
        <v>3479</v>
      </c>
      <c r="M219" s="222" t="s">
        <v>3717</v>
      </c>
      <c r="N219" s="222" t="s">
        <v>4388</v>
      </c>
      <c r="O219" s="222" t="s">
        <v>4884</v>
      </c>
    </row>
    <row r="220" spans="1:15" ht="43.5" x14ac:dyDescent="0.35">
      <c r="A220" s="4">
        <f t="shared" si="23"/>
        <v>217</v>
      </c>
      <c r="B220" s="116" t="str">
        <f t="shared" ca="1" si="25"/>
        <v>Abholstation für lokale und Online-Einkäufe (ja = 1; nein = 0)</v>
      </c>
      <c r="C220" s="4">
        <f t="shared" si="22"/>
        <v>217</v>
      </c>
      <c r="D220" s="233" t="s">
        <v>2851</v>
      </c>
      <c r="F220" s="222" t="str">
        <f t="shared" ca="1" si="24"/>
        <v>Mülleimer in den Parkbereichen (&gt; 1 pro 100 stellplätze): ja = 1; nein = 0</v>
      </c>
      <c r="G220" s="116"/>
      <c r="H220" s="222" t="s">
        <v>2581</v>
      </c>
      <c r="I220" s="222" t="s">
        <v>4106</v>
      </c>
      <c r="J220" s="222" t="s">
        <v>3190</v>
      </c>
      <c r="K220" s="222" t="s">
        <v>5268</v>
      </c>
      <c r="L220" s="222" t="s">
        <v>3480</v>
      </c>
      <c r="M220" s="222" t="s">
        <v>3718</v>
      </c>
      <c r="N220" s="222" t="s">
        <v>4389</v>
      </c>
      <c r="O220" s="222" t="s">
        <v>4885</v>
      </c>
    </row>
    <row r="221" spans="1:15" ht="29" x14ac:dyDescent="0.35">
      <c r="A221" s="4">
        <f t="shared" ref="A221:A246" si="26">C221</f>
        <v>218</v>
      </c>
      <c r="B221" s="116" t="str">
        <f t="shared" ca="1" si="25"/>
        <v>Energie und Umwelt</v>
      </c>
      <c r="C221" s="4">
        <f t="shared" si="22"/>
        <v>218</v>
      </c>
      <c r="D221" s="233" t="s">
        <v>2852</v>
      </c>
      <c r="F221" s="222" t="str">
        <f t="shared" ca="1" si="24"/>
        <v>Abholstation für lokale und Online-Einkäufe (ja = 1; nein = 0)</v>
      </c>
      <c r="G221" s="116"/>
      <c r="H221" s="222" t="s">
        <v>2582</v>
      </c>
      <c r="I221" s="222" t="s">
        <v>2976</v>
      </c>
      <c r="J221" s="222" t="s">
        <v>3191</v>
      </c>
      <c r="K221" s="222" t="s">
        <v>5269</v>
      </c>
      <c r="L221" s="222" t="s">
        <v>3481</v>
      </c>
      <c r="M221" s="222" t="s">
        <v>3719</v>
      </c>
      <c r="N221" s="222" t="s">
        <v>4390</v>
      </c>
      <c r="O221" s="222" t="s">
        <v>4886</v>
      </c>
    </row>
    <row r="222" spans="1:15" x14ac:dyDescent="0.35">
      <c r="A222" s="4">
        <f t="shared" si="26"/>
        <v>219</v>
      </c>
      <c r="B222" s="116" t="str">
        <f t="shared" ca="1" si="25"/>
        <v>Energiesparende Beleuchtung</v>
      </c>
      <c r="C222" s="4">
        <f t="shared" si="22"/>
        <v>219</v>
      </c>
      <c r="D222" s="233">
        <v>10</v>
      </c>
      <c r="F222" s="220" t="str">
        <f t="shared" ca="1" si="24"/>
        <v>Energie und Umwelt</v>
      </c>
      <c r="G222" s="116"/>
      <c r="H222" s="220" t="s">
        <v>184</v>
      </c>
      <c r="I222" s="220" t="s">
        <v>655</v>
      </c>
      <c r="J222" s="220" t="s">
        <v>1105</v>
      </c>
      <c r="K222" s="220" t="s">
        <v>1575</v>
      </c>
      <c r="L222" s="220" t="s">
        <v>2257</v>
      </c>
      <c r="M222" s="220" t="s">
        <v>3720</v>
      </c>
      <c r="N222" s="220" t="s">
        <v>4391</v>
      </c>
      <c r="O222" s="220" t="s">
        <v>4887</v>
      </c>
    </row>
    <row r="223" spans="1:15" ht="29" x14ac:dyDescent="0.35">
      <c r="A223" s="4">
        <f t="shared" si="26"/>
        <v>220</v>
      </c>
      <c r="B223" s="116" t="str">
        <f t="shared" ca="1" si="25"/>
        <v>Elektronische Vorschaltgeräte (d.h. Leistungsfaktorkorrekturfilter (PFC)) (ja = 1; nein = 0)</v>
      </c>
      <c r="C223" s="4">
        <f t="shared" si="22"/>
        <v>220</v>
      </c>
      <c r="D223" s="233" t="s">
        <v>2734</v>
      </c>
      <c r="F223" s="222" t="str">
        <f t="shared" ca="1" si="24"/>
        <v>Energiesparende Beleuchtung</v>
      </c>
      <c r="G223" s="116"/>
      <c r="H223" s="222" t="s">
        <v>392</v>
      </c>
      <c r="I223" s="222" t="s">
        <v>656</v>
      </c>
      <c r="J223" s="222" t="s">
        <v>3192</v>
      </c>
      <c r="K223" s="222" t="s">
        <v>1576</v>
      </c>
      <c r="L223" s="222" t="s">
        <v>2258</v>
      </c>
      <c r="M223" s="222" t="s">
        <v>3721</v>
      </c>
      <c r="N223" s="222" t="s">
        <v>4392</v>
      </c>
      <c r="O223" s="222" t="s">
        <v>4888</v>
      </c>
    </row>
    <row r="224" spans="1:15" ht="43.5" x14ac:dyDescent="0.35">
      <c r="A224" s="4">
        <f t="shared" si="26"/>
        <v>221</v>
      </c>
      <c r="B224" s="116" t="str">
        <f t="shared" ca="1" si="25"/>
        <v>Andere Systeme (ja = 1; nein = 0)</v>
      </c>
      <c r="C224" s="4">
        <f t="shared" si="22"/>
        <v>221</v>
      </c>
      <c r="D224" s="233" t="s">
        <v>2735</v>
      </c>
      <c r="F224" s="222" t="str">
        <f t="shared" ca="1" si="24"/>
        <v>Elektronische Vorschaltgeräte (d.h. Leistungsfaktorkorrekturfilter (PFC)) (ja = 1; nein = 0)</v>
      </c>
      <c r="G224" s="116"/>
      <c r="H224" s="222" t="s">
        <v>391</v>
      </c>
      <c r="I224" s="222" t="s">
        <v>657</v>
      </c>
      <c r="J224" s="222" t="s">
        <v>3193</v>
      </c>
      <c r="K224" s="222" t="s">
        <v>5270</v>
      </c>
      <c r="L224" s="222" t="s">
        <v>2259</v>
      </c>
      <c r="M224" s="222" t="s">
        <v>3722</v>
      </c>
      <c r="N224" s="222" t="s">
        <v>4393</v>
      </c>
      <c r="O224" s="222" t="s">
        <v>4889</v>
      </c>
    </row>
    <row r="225" spans="1:15" x14ac:dyDescent="0.35">
      <c r="A225" s="4">
        <f t="shared" si="26"/>
        <v>222</v>
      </c>
      <c r="B225" s="116" t="str">
        <f t="shared" ca="1" si="25"/>
        <v>Bewegungsgesteuerte Beleuchtung (ja = 2; nein = 0)</v>
      </c>
      <c r="C225" s="4">
        <f t="shared" si="22"/>
        <v>222</v>
      </c>
      <c r="D225" s="233" t="s">
        <v>2736</v>
      </c>
      <c r="F225" s="222" t="str">
        <f t="shared" ca="1" si="24"/>
        <v>Andere Systeme (ja = 1; nein = 0)</v>
      </c>
      <c r="G225" s="116"/>
      <c r="H225" s="222" t="s">
        <v>1724</v>
      </c>
      <c r="I225" s="222" t="s">
        <v>1725</v>
      </c>
      <c r="J225" s="222" t="s">
        <v>1726</v>
      </c>
      <c r="K225" s="222" t="s">
        <v>3375</v>
      </c>
      <c r="L225" s="222" t="s">
        <v>2260</v>
      </c>
      <c r="M225" s="222" t="s">
        <v>3723</v>
      </c>
      <c r="N225" s="222" t="s">
        <v>4394</v>
      </c>
      <c r="O225" s="222" t="s">
        <v>4890</v>
      </c>
    </row>
    <row r="226" spans="1:15" ht="43.5" x14ac:dyDescent="0.35">
      <c r="A226" s="4">
        <f t="shared" si="26"/>
        <v>223</v>
      </c>
      <c r="B226" s="116" t="str">
        <f t="shared" ca="1" si="25"/>
        <v>Adaptionsstrecke an der Einfahrt (Tageslichtkorrektur) (ja = 2; nein = 0)</v>
      </c>
      <c r="C226" s="4">
        <f t="shared" si="22"/>
        <v>223</v>
      </c>
      <c r="D226" s="233" t="s">
        <v>73</v>
      </c>
      <c r="F226" s="222" t="str">
        <f t="shared" ca="1" si="24"/>
        <v>Bewegungsgesteuerte Beleuchtung (ja = 2; nein = 0)</v>
      </c>
      <c r="G226" s="116"/>
      <c r="H226" s="222" t="s">
        <v>1310</v>
      </c>
      <c r="I226" s="222" t="s">
        <v>746</v>
      </c>
      <c r="J226" s="222" t="s">
        <v>3194</v>
      </c>
      <c r="K226" s="222" t="s">
        <v>5271</v>
      </c>
      <c r="L226" s="222" t="s">
        <v>2261</v>
      </c>
      <c r="M226" s="222" t="s">
        <v>3724</v>
      </c>
      <c r="N226" s="222" t="s">
        <v>4395</v>
      </c>
      <c r="O226" s="222" t="s">
        <v>4891</v>
      </c>
    </row>
    <row r="227" spans="1:15" ht="72.5" x14ac:dyDescent="0.35">
      <c r="A227" s="4">
        <f t="shared" si="26"/>
        <v>224</v>
      </c>
      <c r="B227" s="116" t="str">
        <f t="shared" ca="1" si="25"/>
        <v>Tageslichtabhängige Beleuchtungssteuerung (bspw. Dämmerungsschaltung) (ja = 2; nein = 0; irrelevant (unterirdisch) = 2)</v>
      </c>
      <c r="C227" s="4">
        <f t="shared" si="22"/>
        <v>224</v>
      </c>
      <c r="D227" s="233" t="s">
        <v>74</v>
      </c>
      <c r="F227" s="222" t="str">
        <f t="shared" ca="1" si="24"/>
        <v>Adaptionsstrecke an der Einfahrt (Tageslichtkorrektur) (ja = 2; nein = 0)</v>
      </c>
      <c r="G227" s="116"/>
      <c r="H227" s="222" t="s">
        <v>1311</v>
      </c>
      <c r="I227" s="222" t="s">
        <v>747</v>
      </c>
      <c r="J227" s="222" t="s">
        <v>3195</v>
      </c>
      <c r="K227" s="222" t="s">
        <v>5272</v>
      </c>
      <c r="L227" s="222" t="s">
        <v>2262</v>
      </c>
      <c r="M227" s="222" t="s">
        <v>3725</v>
      </c>
      <c r="N227" s="222" t="s">
        <v>4396</v>
      </c>
      <c r="O227" s="222" t="s">
        <v>4892</v>
      </c>
    </row>
    <row r="228" spans="1:15" ht="72.5" x14ac:dyDescent="0.35">
      <c r="A228" s="4">
        <f t="shared" si="26"/>
        <v>225</v>
      </c>
      <c r="B228" s="116" t="str">
        <f t="shared" ca="1" si="25"/>
        <v>Solarpanele auf dem Dach oder andere Green Energy Initiativen (ja = 2; nein = 0)</v>
      </c>
      <c r="C228" s="4">
        <f t="shared" si="22"/>
        <v>225</v>
      </c>
      <c r="D228" s="233" t="s">
        <v>75</v>
      </c>
      <c r="F228" s="222" t="str">
        <f t="shared" ca="1" si="24"/>
        <v>Tageslichtabhängige Beleuchtungssteuerung (bspw. Dämmerungsschaltung) (ja = 2; nein = 0; irrelevant (unterirdisch) = 2)</v>
      </c>
      <c r="G228" s="116"/>
      <c r="H228" s="222" t="s">
        <v>394</v>
      </c>
      <c r="I228" s="222" t="s">
        <v>748</v>
      </c>
      <c r="J228" s="222" t="s">
        <v>3196</v>
      </c>
      <c r="K228" s="222" t="s">
        <v>5273</v>
      </c>
      <c r="L228" s="222" t="s">
        <v>2337</v>
      </c>
      <c r="M228" s="222" t="s">
        <v>3726</v>
      </c>
      <c r="N228" s="222" t="s">
        <v>4397</v>
      </c>
      <c r="O228" s="222" t="s">
        <v>4893</v>
      </c>
    </row>
    <row r="229" spans="1:15" ht="43.5" x14ac:dyDescent="0.35">
      <c r="A229" s="4">
        <f t="shared" si="26"/>
        <v>226</v>
      </c>
      <c r="B229" s="116" t="str">
        <f t="shared" ca="1" si="25"/>
        <v>Spezielle Behandlung von Schmutzwasser (ja = 2; nein = 0)</v>
      </c>
      <c r="C229" s="4">
        <f t="shared" si="22"/>
        <v>226</v>
      </c>
      <c r="D229" s="233" t="s">
        <v>76</v>
      </c>
      <c r="F229" s="222" t="str">
        <f t="shared" ca="1" si="24"/>
        <v>Solarpanele auf dem Dach oder andere Green Energy Initiativen (ja = 2; nein = 0)</v>
      </c>
      <c r="G229" s="116"/>
      <c r="H229" s="222" t="s">
        <v>393</v>
      </c>
      <c r="I229" s="222" t="s">
        <v>749</v>
      </c>
      <c r="J229" s="222" t="s">
        <v>3197</v>
      </c>
      <c r="K229" s="222" t="s">
        <v>3376</v>
      </c>
      <c r="L229" s="222" t="s">
        <v>2263</v>
      </c>
      <c r="M229" s="222" t="s">
        <v>3727</v>
      </c>
      <c r="N229" s="222" t="s">
        <v>4398</v>
      </c>
      <c r="O229" s="222" t="s">
        <v>4894</v>
      </c>
    </row>
    <row r="230" spans="1:15" ht="43.5" x14ac:dyDescent="0.35">
      <c r="A230" s="4">
        <f t="shared" si="26"/>
        <v>227</v>
      </c>
      <c r="B230" s="116" t="str">
        <f t="shared" ca="1" si="25"/>
        <v>(Wieder-)Verwendung von Grau-/Regenwasser (ja = 2; nein = 0)</v>
      </c>
      <c r="C230" s="4">
        <f t="shared" si="22"/>
        <v>227</v>
      </c>
      <c r="D230" s="233" t="s">
        <v>78</v>
      </c>
      <c r="F230" s="222" t="str">
        <f t="shared" ca="1" si="24"/>
        <v>Spezielle Behandlung von Schmutzwasser (ja = 2; nein = 0)</v>
      </c>
      <c r="G230" s="116"/>
      <c r="H230" s="222" t="s">
        <v>103</v>
      </c>
      <c r="I230" s="222" t="s">
        <v>750</v>
      </c>
      <c r="J230" s="222" t="s">
        <v>3198</v>
      </c>
      <c r="K230" s="222" t="s">
        <v>5274</v>
      </c>
      <c r="L230" s="222" t="s">
        <v>2338</v>
      </c>
      <c r="M230" s="222" t="s">
        <v>3728</v>
      </c>
      <c r="N230" s="222" t="s">
        <v>4399</v>
      </c>
      <c r="O230" s="222" t="s">
        <v>4895</v>
      </c>
    </row>
    <row r="231" spans="1:15" ht="58" x14ac:dyDescent="0.35">
      <c r="A231" s="4">
        <f t="shared" si="26"/>
        <v>228</v>
      </c>
      <c r="B231" s="116" t="str">
        <f t="shared" ca="1" si="25"/>
        <v>Öffentliche Ladepunkte für elektrische Fahrzeuge</v>
      </c>
      <c r="C231" s="4">
        <f t="shared" si="22"/>
        <v>228</v>
      </c>
      <c r="D231" s="233" t="s">
        <v>99</v>
      </c>
      <c r="F231" s="222" t="str">
        <f t="shared" ca="1" si="24"/>
        <v>(Wieder-)Verwendung von Grau-/Regenwasser (ja = 2; nein = 0)</v>
      </c>
      <c r="G231" s="116"/>
      <c r="H231" s="222" t="s">
        <v>104</v>
      </c>
      <c r="I231" s="222" t="s">
        <v>751</v>
      </c>
      <c r="J231" s="222" t="s">
        <v>3199</v>
      </c>
      <c r="K231" s="222" t="s">
        <v>5275</v>
      </c>
      <c r="L231" s="222" t="s">
        <v>2339</v>
      </c>
      <c r="M231" s="222" t="s">
        <v>3729</v>
      </c>
      <c r="N231" s="222" t="s">
        <v>4400</v>
      </c>
      <c r="O231" s="222" t="s">
        <v>4896</v>
      </c>
    </row>
    <row r="232" spans="1:15" ht="29" x14ac:dyDescent="0.35">
      <c r="A232" s="4">
        <f t="shared" si="26"/>
        <v>229</v>
      </c>
      <c r="B232" s="116" t="str">
        <f t="shared" ca="1" si="25"/>
        <v>Mehr als 10% der Stellplätze mit Ladepunkten ausgerüstet = 4; 5%-10% = 3; 2%-5% = 2; unter 2% = 1; keine = 0</v>
      </c>
      <c r="C232" s="4">
        <f t="shared" si="22"/>
        <v>229</v>
      </c>
      <c r="D232" s="233" t="s">
        <v>2737</v>
      </c>
      <c r="F232" s="222" t="str">
        <f t="shared" ca="1" si="24"/>
        <v>Öffentliche Ladepunkte für elektrische Fahrzeuge</v>
      </c>
      <c r="G232" s="116"/>
      <c r="H232" s="222" t="s">
        <v>2583</v>
      </c>
      <c r="I232" s="222" t="s">
        <v>2977</v>
      </c>
      <c r="J232" s="222" t="s">
        <v>3200</v>
      </c>
      <c r="K232" s="222" t="s">
        <v>3377</v>
      </c>
      <c r="L232" s="222" t="s">
        <v>3482</v>
      </c>
      <c r="M232" s="222" t="s">
        <v>3730</v>
      </c>
      <c r="N232" s="222" t="s">
        <v>4401</v>
      </c>
      <c r="O232" s="222" t="s">
        <v>4897</v>
      </c>
    </row>
    <row r="233" spans="1:15" ht="72.5" x14ac:dyDescent="0.35">
      <c r="A233" s="4">
        <f t="shared" si="26"/>
        <v>230</v>
      </c>
      <c r="B233" s="116" t="str">
        <f t="shared" ca="1" si="25"/>
        <v>Durchschnittliche Kapazität pro Ladepunkt: &lt;4kW = 0; 4 - 10kW = 1; 10 - 20kW = 2; &gt;20kW = 3. Schnell-Lader &gt;50kW = 1 Zusatzpunkt</v>
      </c>
      <c r="C233" s="4">
        <f t="shared" si="22"/>
        <v>230</v>
      </c>
      <c r="D233" s="233" t="s">
        <v>2738</v>
      </c>
      <c r="F233" s="222" t="str">
        <f t="shared" ca="1" si="24"/>
        <v>Mehr als 10% der Stellplätze mit Ladepunkten ausgerüstet = 4; 5%-10% = 3; 2%-5% = 2; unter 2% = 1; keine = 0</v>
      </c>
      <c r="G233" s="116"/>
      <c r="H233" s="222" t="s">
        <v>2584</v>
      </c>
      <c r="I233" s="222" t="s">
        <v>2978</v>
      </c>
      <c r="J233" s="222" t="s">
        <v>3201</v>
      </c>
      <c r="K233" s="222" t="s">
        <v>3378</v>
      </c>
      <c r="L233" s="222" t="s">
        <v>3483</v>
      </c>
      <c r="M233" s="222" t="s">
        <v>3731</v>
      </c>
      <c r="N233" s="222" t="s">
        <v>4402</v>
      </c>
      <c r="O233" s="222" t="s">
        <v>4898</v>
      </c>
    </row>
    <row r="234" spans="1:15" ht="58" x14ac:dyDescent="0.35">
      <c r="A234" s="4">
        <f t="shared" si="26"/>
        <v>231</v>
      </c>
      <c r="B234" s="116" t="str">
        <f t="shared" ca="1" si="25"/>
        <v xml:space="preserve">Gesamte Kapazität pro 100 Stellplätze: &lt;50kW = 0; 50 - 100kW = 1; 100 - 200kW = 2; &gt;200 kW = 3 </v>
      </c>
      <c r="C234" s="4">
        <f t="shared" si="22"/>
        <v>231</v>
      </c>
      <c r="D234" s="233" t="s">
        <v>2739</v>
      </c>
      <c r="F234" s="222" t="str">
        <f t="shared" ca="1" si="24"/>
        <v>Durchschnittliche Kapazität pro Ladepunkt: &lt;4kW = 0; 4 - 10kW = 1; 10 - 20kW = 2; &gt;20kW = 3. Schnell-Lader &gt;50kW = 1 Zusatzpunkt</v>
      </c>
      <c r="G234" s="116"/>
      <c r="H234" s="222" t="s">
        <v>2585</v>
      </c>
      <c r="I234" s="222" t="s">
        <v>2979</v>
      </c>
      <c r="J234" s="222" t="s">
        <v>3202</v>
      </c>
      <c r="K234" s="222" t="s">
        <v>5276</v>
      </c>
      <c r="L234" s="222" t="s">
        <v>3484</v>
      </c>
      <c r="M234" s="222" t="s">
        <v>3732</v>
      </c>
      <c r="N234" s="222" t="s">
        <v>4403</v>
      </c>
      <c r="O234" s="222" t="s">
        <v>4899</v>
      </c>
    </row>
    <row r="235" spans="1:15" ht="43.5" x14ac:dyDescent="0.35">
      <c r="A235" s="4">
        <f t="shared" si="26"/>
        <v>232</v>
      </c>
      <c r="B235" s="116" t="str">
        <f t="shared" ca="1" si="25"/>
        <v>Ladepunkte in der Nähe der Einfahrt für die schnelle Erreichbarkeit durch Einsatzfahrzeuge im Brandfall (ja = 1; nein = 0)</v>
      </c>
      <c r="C235" s="4">
        <f t="shared" si="22"/>
        <v>232</v>
      </c>
      <c r="D235" s="233" t="s">
        <v>2740</v>
      </c>
      <c r="F235" s="222" t="str">
        <f t="shared" ca="1" si="24"/>
        <v xml:space="preserve">Gesamte Kapazität pro 100 Stellplätze: &lt;50kW = 0; 50 - 100kW = 1; 100 - 200kW = 2; &gt;200 kW = 3 </v>
      </c>
      <c r="G235" s="116"/>
      <c r="H235" s="222" t="s">
        <v>2586</v>
      </c>
      <c r="I235" s="222" t="s">
        <v>2980</v>
      </c>
      <c r="J235" s="222" t="s">
        <v>3203</v>
      </c>
      <c r="K235" s="222" t="s">
        <v>5277</v>
      </c>
      <c r="L235" s="222" t="s">
        <v>3485</v>
      </c>
      <c r="M235" s="222" t="s">
        <v>3733</v>
      </c>
      <c r="N235" s="222" t="s">
        <v>4404</v>
      </c>
      <c r="O235" s="222" t="s">
        <v>4900</v>
      </c>
    </row>
    <row r="236" spans="1:15" ht="58" x14ac:dyDescent="0.35">
      <c r="A236" s="4">
        <f t="shared" si="26"/>
        <v>233</v>
      </c>
      <c r="B236" s="116" t="str">
        <f t="shared" ca="1" si="25"/>
        <v>Reservierung eines Ladepunkts über ein integriertes Buchungssystem möglich (ja = 1; nein = 0)</v>
      </c>
      <c r="C236" s="4">
        <f t="shared" si="22"/>
        <v>233</v>
      </c>
      <c r="D236" s="233" t="s">
        <v>2741</v>
      </c>
      <c r="F236" s="222" t="str">
        <f t="shared" ca="1" si="24"/>
        <v>Ladepunkte in der Nähe der Einfahrt für die schnelle Erreichbarkeit durch Einsatzfahrzeuge im Brandfall (ja = 1; nein = 0)</v>
      </c>
      <c r="G236" s="116"/>
      <c r="H236" s="222" t="s">
        <v>2587</v>
      </c>
      <c r="I236" s="222" t="s">
        <v>2981</v>
      </c>
      <c r="J236" s="222" t="s">
        <v>3204</v>
      </c>
      <c r="K236" s="222" t="s">
        <v>5278</v>
      </c>
      <c r="L236" s="222" t="s">
        <v>3486</v>
      </c>
      <c r="M236" s="222" t="s">
        <v>3734</v>
      </c>
      <c r="N236" s="222" t="s">
        <v>4405</v>
      </c>
      <c r="O236" s="222" t="s">
        <v>4901</v>
      </c>
    </row>
    <row r="237" spans="1:15" ht="43.5" x14ac:dyDescent="0.35">
      <c r="A237" s="4">
        <f t="shared" si="26"/>
        <v>234</v>
      </c>
      <c r="B237" s="116" t="str">
        <f ca="1">IF(ISBLANK(VLOOKUP(A237,$C$4:$T$9877,1+$A$1)),F239,VLOOKUP(A237,$C$4:$T$9877,1+$A$1))</f>
        <v>Eigene Stellplätze für Car-Sharing Anbieter: &gt;10 Stellplätze = 3; 5 - 10 Stellplätze = 2; 1 - 5 Stellplätze = 1; keine = 0</v>
      </c>
      <c r="C237" s="4">
        <f t="shared" si="22"/>
        <v>234</v>
      </c>
      <c r="D237" s="233" t="s">
        <v>2743</v>
      </c>
      <c r="F237" s="222" t="str">
        <f t="shared" ca="1" si="24"/>
        <v>Reservierung eines Ladepunkts über ein integriertes Buchungssystem möglich (ja = 1; nein = 0)</v>
      </c>
      <c r="G237" s="116"/>
      <c r="H237" s="222" t="s">
        <v>2588</v>
      </c>
      <c r="I237" s="222" t="s">
        <v>2982</v>
      </c>
      <c r="J237" s="222" t="s">
        <v>3205</v>
      </c>
      <c r="K237" s="222" t="s">
        <v>5279</v>
      </c>
      <c r="L237" s="222" t="s">
        <v>3487</v>
      </c>
      <c r="M237" s="222" t="s">
        <v>3735</v>
      </c>
      <c r="N237" s="222" t="s">
        <v>4406</v>
      </c>
      <c r="O237" s="222" t="s">
        <v>4902</v>
      </c>
    </row>
    <row r="238" spans="1:15" x14ac:dyDescent="0.35">
      <c r="B238" s="116"/>
      <c r="C238" s="4">
        <f t="shared" si="22"/>
        <v>235</v>
      </c>
      <c r="D238" s="233" t="s">
        <v>2748</v>
      </c>
      <c r="F238" s="222" t="str">
        <f t="shared" ca="1" si="24"/>
        <v>Mobilitäts-Hubs</v>
      </c>
      <c r="G238" s="116"/>
      <c r="H238" s="222" t="s">
        <v>2746</v>
      </c>
      <c r="I238" s="222" t="s">
        <v>2983</v>
      </c>
      <c r="J238" s="222" t="s">
        <v>3206</v>
      </c>
      <c r="K238" s="222" t="s">
        <v>3379</v>
      </c>
      <c r="L238" s="222" t="s">
        <v>3488</v>
      </c>
      <c r="M238" s="222" t="s">
        <v>3736</v>
      </c>
      <c r="N238" s="222" t="s">
        <v>4407</v>
      </c>
      <c r="O238" s="222" t="s">
        <v>4903</v>
      </c>
    </row>
    <row r="239" spans="1:15" ht="58" x14ac:dyDescent="0.35">
      <c r="A239" s="4">
        <f t="shared" si="26"/>
        <v>236</v>
      </c>
      <c r="B239" s="116" t="str">
        <f ca="1">IF(ISBLANK(VLOOKUP(A239,$C$4:$T$9877,1+$A$1)),F241,VLOOKUP(A239,$C$4:$T$9877,1+$A$1))</f>
        <v>Station für Bike-Sharing und / oder E-Scooter, getrennt vom Parkbereich: &gt;10 Einheiten = 2; 1 - 10 Einheiten = 1; keine = 0</v>
      </c>
      <c r="C239" s="4">
        <f t="shared" si="22"/>
        <v>236</v>
      </c>
      <c r="D239" s="233" t="s">
        <v>2749</v>
      </c>
      <c r="F239" s="222" t="str">
        <f t="shared" ca="1" si="24"/>
        <v>Eigene Stellplätze für Car-Sharing Anbieter: &gt;10 Stellplätze = 3; 5 - 10 Stellplätze = 2; 1 - 5 Stellplätze = 1; keine = 0</v>
      </c>
      <c r="G239" s="116"/>
      <c r="H239" s="222" t="s">
        <v>2754</v>
      </c>
      <c r="I239" s="222" t="s">
        <v>2984</v>
      </c>
      <c r="J239" s="222" t="s">
        <v>3207</v>
      </c>
      <c r="K239" s="222" t="s">
        <v>5280</v>
      </c>
      <c r="L239" s="222" t="s">
        <v>3489</v>
      </c>
      <c r="M239" s="222" t="s">
        <v>3737</v>
      </c>
      <c r="N239" s="222" t="s">
        <v>4408</v>
      </c>
      <c r="O239" s="222" t="s">
        <v>4904</v>
      </c>
    </row>
    <row r="240" spans="1:15" ht="29" x14ac:dyDescent="0.35">
      <c r="B240" s="116"/>
      <c r="C240" s="4">
        <f t="shared" si="22"/>
        <v>237</v>
      </c>
      <c r="D240" s="233" t="s">
        <v>2750</v>
      </c>
      <c r="F240" s="222" t="str">
        <f t="shared" ca="1" si="24"/>
        <v>Fahrzeugreinigung/-aufbereitung: 1 Punkt</v>
      </c>
      <c r="G240" s="116"/>
      <c r="H240" s="222" t="s">
        <v>2747</v>
      </c>
      <c r="I240" s="222" t="s">
        <v>2985</v>
      </c>
      <c r="J240" s="222" t="s">
        <v>3208</v>
      </c>
      <c r="K240" s="222" t="s">
        <v>5281</v>
      </c>
      <c r="L240" s="222" t="s">
        <v>3490</v>
      </c>
      <c r="M240" s="222" t="s">
        <v>3738</v>
      </c>
      <c r="N240" s="222" t="s">
        <v>4409</v>
      </c>
      <c r="O240" s="222" t="s">
        <v>4905</v>
      </c>
    </row>
    <row r="241" spans="1:15" ht="58" x14ac:dyDescent="0.35">
      <c r="A241" s="4">
        <f t="shared" si="26"/>
        <v>238</v>
      </c>
      <c r="B241" s="116" t="str">
        <f ca="1">IF(ISBLANK(VLOOKUP(A241,$C$4:$T$9877,1+$A$1)),F244,VLOOKUP(A241,$C$4:$T$9877,1+$A$1))</f>
        <v>Neubau wurde unter Berücksichtigung von Nachhaltigkeitskonzepten (Recycling) errichtet (ja = 1; nein = 0)</v>
      </c>
      <c r="C241" s="4">
        <f t="shared" si="22"/>
        <v>238</v>
      </c>
      <c r="D241" s="233" t="s">
        <v>2751</v>
      </c>
      <c r="F241" s="222" t="str">
        <f t="shared" ca="1" si="24"/>
        <v>Station für Bike-Sharing und / oder E-Scooter, getrennt vom Parkbereich: &gt;10 Einheiten = 2; 1 - 10 Einheiten = 1; keine = 0</v>
      </c>
      <c r="G241" s="116"/>
      <c r="H241" s="222" t="s">
        <v>2744</v>
      </c>
      <c r="I241" s="222" t="s">
        <v>2986</v>
      </c>
      <c r="J241" s="222" t="s">
        <v>3209</v>
      </c>
      <c r="K241" s="222" t="s">
        <v>5282</v>
      </c>
      <c r="L241" s="222" t="s">
        <v>3491</v>
      </c>
      <c r="M241" s="222" t="s">
        <v>3739</v>
      </c>
      <c r="N241" s="222" t="s">
        <v>4410</v>
      </c>
      <c r="O241" s="222" t="s">
        <v>4906</v>
      </c>
    </row>
    <row r="242" spans="1:15" ht="43.5" x14ac:dyDescent="0.35">
      <c r="B242" s="116"/>
      <c r="C242" s="4">
        <f t="shared" si="22"/>
        <v>239</v>
      </c>
      <c r="D242" s="233" t="s">
        <v>2752</v>
      </c>
      <c r="F242" s="222" t="str">
        <f t="shared" ca="1" si="24"/>
        <v>Lademöglichkeiten für leichte e-Fahrzeuge: &gt;10 = 2; 1 - 10 = 1; keine = 0</v>
      </c>
      <c r="G242" s="116"/>
      <c r="H242" s="222" t="s">
        <v>2745</v>
      </c>
      <c r="I242" s="222" t="s">
        <v>2987</v>
      </c>
      <c r="J242" s="222" t="s">
        <v>3210</v>
      </c>
      <c r="K242" s="222" t="s">
        <v>5283</v>
      </c>
      <c r="L242" s="222" t="s">
        <v>3492</v>
      </c>
      <c r="M242" s="222" t="s">
        <v>3740</v>
      </c>
      <c r="N242" s="222" t="s">
        <v>4411</v>
      </c>
      <c r="O242" s="222" t="s">
        <v>4907</v>
      </c>
    </row>
    <row r="243" spans="1:15" ht="43.5" x14ac:dyDescent="0.35">
      <c r="B243" s="116"/>
      <c r="C243" s="4">
        <f t="shared" si="22"/>
        <v>240</v>
      </c>
      <c r="D243" s="233" t="s">
        <v>2753</v>
      </c>
      <c r="F243" s="222" t="str">
        <f t="shared" ca="1" si="24"/>
        <v>Zugang zu Bike-Sharing Punkten führt durch die Parkebene und ist nicht separat vom Kfz-Bereich: 1 Punkt Abzug</v>
      </c>
      <c r="G243" s="116"/>
      <c r="H243" s="222" t="s">
        <v>2824</v>
      </c>
      <c r="I243" s="222" t="s">
        <v>2988</v>
      </c>
      <c r="J243" s="222" t="s">
        <v>3211</v>
      </c>
      <c r="K243" s="222" t="s">
        <v>5284</v>
      </c>
      <c r="L243" s="222" t="s">
        <v>3493</v>
      </c>
      <c r="M243" s="222" t="s">
        <v>3741</v>
      </c>
      <c r="N243" s="222" t="s">
        <v>4412</v>
      </c>
      <c r="O243" s="222" t="s">
        <v>4908</v>
      </c>
    </row>
    <row r="244" spans="1:15" ht="43.5" x14ac:dyDescent="0.35">
      <c r="A244" s="4">
        <f t="shared" si="26"/>
        <v>241</v>
      </c>
      <c r="B244" s="116" t="str">
        <f t="shared" ref="B244:B260" ca="1" si="27">IF(ISBLANK(VLOOKUP(A244,$C$4:$T$9877,1+$A$1)),F245,VLOOKUP(A244,$C$4:$T$9877,1+$A$1))</f>
        <v>Andere Umweltinitiativen (ja = 2; nein = 0)</v>
      </c>
      <c r="C244" s="4">
        <f t="shared" si="22"/>
        <v>241</v>
      </c>
      <c r="D244" s="233" t="s">
        <v>102</v>
      </c>
      <c r="F244" s="222" t="str">
        <f t="shared" ca="1" si="24"/>
        <v>Neubau wurde unter Berücksichtigung von Nachhaltigkeitskonzepten (Recycling) errichtet (ja = 1; nein = 0)</v>
      </c>
      <c r="G244" s="116"/>
      <c r="H244" s="222" t="s">
        <v>2589</v>
      </c>
      <c r="I244" s="222" t="s">
        <v>2989</v>
      </c>
      <c r="J244" s="222" t="s">
        <v>3212</v>
      </c>
      <c r="K244" s="222" t="s">
        <v>5285</v>
      </c>
      <c r="L244" s="222" t="s">
        <v>3494</v>
      </c>
      <c r="M244" s="222" t="s">
        <v>3742</v>
      </c>
      <c r="N244" s="222" t="s">
        <v>4413</v>
      </c>
      <c r="O244" s="222" t="s">
        <v>4909</v>
      </c>
    </row>
    <row r="245" spans="1:15" ht="43.5" x14ac:dyDescent="0.35">
      <c r="A245" s="4">
        <f t="shared" si="26"/>
        <v>242</v>
      </c>
      <c r="B245" s="116" t="str">
        <f t="shared" ca="1" si="27"/>
        <v>Minuspunkte</v>
      </c>
      <c r="C245" s="4">
        <f t="shared" si="22"/>
        <v>242</v>
      </c>
      <c r="D245" s="233" t="s">
        <v>2742</v>
      </c>
      <c r="F245" s="222" t="str">
        <f t="shared" ca="1" si="24"/>
        <v>Andere Umweltinitiativen (ja = 2; nein = 0)</v>
      </c>
      <c r="G245" s="116"/>
      <c r="H245" s="222" t="s">
        <v>2590</v>
      </c>
      <c r="I245" s="222" t="s">
        <v>2990</v>
      </c>
      <c r="J245" s="222" t="s">
        <v>3213</v>
      </c>
      <c r="K245" s="222" t="s">
        <v>5286</v>
      </c>
      <c r="L245" s="222" t="s">
        <v>3495</v>
      </c>
      <c r="M245" s="222" t="s">
        <v>3743</v>
      </c>
      <c r="N245" s="222" t="s">
        <v>4414</v>
      </c>
      <c r="O245" s="222" t="s">
        <v>4910</v>
      </c>
    </row>
    <row r="246" spans="1:15" x14ac:dyDescent="0.35">
      <c r="A246" s="4">
        <f t="shared" si="26"/>
        <v>243</v>
      </c>
      <c r="B246" s="116" t="str">
        <f t="shared" ca="1" si="27"/>
        <v>Graffitis</v>
      </c>
      <c r="C246" s="4">
        <f t="shared" si="22"/>
        <v>243</v>
      </c>
      <c r="D246" s="233" t="s">
        <v>6</v>
      </c>
      <c r="F246" s="568" t="str">
        <f t="shared" ca="1" si="24"/>
        <v>Minuspunkte</v>
      </c>
      <c r="G246" s="116"/>
      <c r="H246" s="568" t="s">
        <v>185</v>
      </c>
      <c r="I246" s="568" t="s">
        <v>658</v>
      </c>
      <c r="J246" s="568" t="s">
        <v>3214</v>
      </c>
      <c r="K246" s="568" t="s">
        <v>1581</v>
      </c>
      <c r="L246" s="568" t="s">
        <v>2266</v>
      </c>
      <c r="M246" s="568" t="s">
        <v>3744</v>
      </c>
      <c r="N246" s="568" t="s">
        <v>4415</v>
      </c>
      <c r="O246" s="568" t="s">
        <v>4911</v>
      </c>
    </row>
    <row r="247" spans="1:15" x14ac:dyDescent="0.35">
      <c r="A247" s="4">
        <f t="shared" ref="A247:A260" si="28">C247</f>
        <v>244</v>
      </c>
      <c r="B247" s="116" t="str">
        <f t="shared" ca="1" si="27"/>
        <v>Treppenhäuser (ja = -2; nein = 0)</v>
      </c>
      <c r="C247" s="4">
        <f t="shared" si="22"/>
        <v>244</v>
      </c>
      <c r="D247" s="233" t="s">
        <v>2755</v>
      </c>
      <c r="F247" s="222" t="str">
        <f t="shared" ca="1" si="24"/>
        <v>Graffitis</v>
      </c>
      <c r="G247" s="116"/>
      <c r="H247" s="222" t="s">
        <v>398</v>
      </c>
      <c r="I247" s="222" t="s">
        <v>659</v>
      </c>
      <c r="J247" s="222" t="s">
        <v>3215</v>
      </c>
      <c r="K247" s="222" t="s">
        <v>5287</v>
      </c>
      <c r="L247" s="222" t="s">
        <v>3496</v>
      </c>
      <c r="M247" s="222" t="s">
        <v>3745</v>
      </c>
      <c r="N247" s="222" t="s">
        <v>4416</v>
      </c>
      <c r="O247" s="222" t="s">
        <v>4912</v>
      </c>
    </row>
    <row r="248" spans="1:15" ht="29" x14ac:dyDescent="0.35">
      <c r="A248" s="4">
        <f t="shared" si="28"/>
        <v>245</v>
      </c>
      <c r="B248" s="116" t="str">
        <f t="shared" ca="1" si="27"/>
        <v>Aufzüge (ja = -2; nein = 0)</v>
      </c>
      <c r="C248" s="4">
        <f t="shared" si="22"/>
        <v>245</v>
      </c>
      <c r="D248" s="233" t="s">
        <v>2756</v>
      </c>
      <c r="F248" s="222" t="str">
        <f t="shared" ca="1" si="24"/>
        <v>Treppenhäuser (ja = -2; nein = 0)</v>
      </c>
      <c r="G248" s="116"/>
      <c r="H248" s="222" t="s">
        <v>399</v>
      </c>
      <c r="I248" s="222" t="s">
        <v>755</v>
      </c>
      <c r="J248" s="222" t="s">
        <v>3216</v>
      </c>
      <c r="K248" s="222" t="s">
        <v>5288</v>
      </c>
      <c r="L248" s="222" t="s">
        <v>2268</v>
      </c>
      <c r="M248" s="222" t="s">
        <v>3746</v>
      </c>
      <c r="N248" s="222" t="s">
        <v>4417</v>
      </c>
      <c r="O248" s="222" t="s">
        <v>4913</v>
      </c>
    </row>
    <row r="249" spans="1:15" ht="29" x14ac:dyDescent="0.35">
      <c r="A249" s="4">
        <f t="shared" si="28"/>
        <v>246</v>
      </c>
      <c r="B249" s="116" t="str">
        <f t="shared" ca="1" si="27"/>
        <v>Toiletten (ja = -2; nein = 0)</v>
      </c>
      <c r="C249" s="4">
        <f t="shared" si="22"/>
        <v>246</v>
      </c>
      <c r="D249" s="233" t="s">
        <v>2757</v>
      </c>
      <c r="F249" s="222" t="str">
        <f t="shared" ca="1" si="24"/>
        <v>Aufzüge (ja = -2; nein = 0)</v>
      </c>
      <c r="G249" s="116"/>
      <c r="H249" s="222" t="s">
        <v>400</v>
      </c>
      <c r="I249" s="222" t="s">
        <v>756</v>
      </c>
      <c r="J249" s="222" t="s">
        <v>1119</v>
      </c>
      <c r="K249" s="222" t="s">
        <v>5289</v>
      </c>
      <c r="L249" s="222" t="s">
        <v>2269</v>
      </c>
      <c r="M249" s="222" t="s">
        <v>3747</v>
      </c>
      <c r="N249" s="222" t="s">
        <v>4418</v>
      </c>
      <c r="O249" s="222" t="s">
        <v>4914</v>
      </c>
    </row>
    <row r="250" spans="1:15" ht="29" x14ac:dyDescent="0.35">
      <c r="A250" s="4">
        <f t="shared" si="28"/>
        <v>247</v>
      </c>
      <c r="B250" s="116" t="str">
        <f t="shared" ca="1" si="27"/>
        <v>Parkbereich (ja = -2; nein = 0)</v>
      </c>
      <c r="C250" s="4">
        <f t="shared" si="22"/>
        <v>247</v>
      </c>
      <c r="D250" s="233" t="s">
        <v>2758</v>
      </c>
      <c r="F250" s="222" t="str">
        <f t="shared" ca="1" si="24"/>
        <v>Toiletten (ja = -2; nein = 0)</v>
      </c>
      <c r="G250" s="116"/>
      <c r="H250" s="222" t="s">
        <v>401</v>
      </c>
      <c r="I250" s="222" t="s">
        <v>757</v>
      </c>
      <c r="J250" s="222" t="s">
        <v>1124</v>
      </c>
      <c r="K250" s="222" t="s">
        <v>5290</v>
      </c>
      <c r="L250" s="222" t="s">
        <v>2270</v>
      </c>
      <c r="M250" s="222" t="s">
        <v>3748</v>
      </c>
      <c r="N250" s="222" t="s">
        <v>4419</v>
      </c>
      <c r="O250" s="222" t="s">
        <v>4915</v>
      </c>
    </row>
    <row r="251" spans="1:15" ht="29" x14ac:dyDescent="0.35">
      <c r="A251" s="4">
        <f t="shared" si="28"/>
        <v>248</v>
      </c>
      <c r="B251" s="116" t="str">
        <f t="shared" ca="1" si="27"/>
        <v>Außenwände (ja = -2; nein = 0)</v>
      </c>
      <c r="C251" s="4">
        <f t="shared" si="22"/>
        <v>248</v>
      </c>
      <c r="D251" s="233" t="s">
        <v>2759</v>
      </c>
      <c r="F251" s="222" t="str">
        <f t="shared" ca="1" si="24"/>
        <v>Parkbereich (ja = -2; nein = 0)</v>
      </c>
      <c r="G251" s="116"/>
      <c r="H251" s="222" t="s">
        <v>402</v>
      </c>
      <c r="I251" s="222" t="s">
        <v>758</v>
      </c>
      <c r="J251" s="222" t="s">
        <v>3217</v>
      </c>
      <c r="K251" s="222" t="s">
        <v>5291</v>
      </c>
      <c r="L251" s="222" t="s">
        <v>2271</v>
      </c>
      <c r="M251" s="222" t="s">
        <v>3749</v>
      </c>
      <c r="N251" s="222" t="s">
        <v>4420</v>
      </c>
      <c r="O251" s="222" t="s">
        <v>4916</v>
      </c>
    </row>
    <row r="252" spans="1:15" ht="29" x14ac:dyDescent="0.35">
      <c r="A252" s="4">
        <f t="shared" si="28"/>
        <v>249</v>
      </c>
      <c r="B252" s="116" t="str">
        <f t="shared" ca="1" si="27"/>
        <v>Verschmutzung</v>
      </c>
      <c r="C252" s="4">
        <f t="shared" si="22"/>
        <v>249</v>
      </c>
      <c r="D252" s="233" t="s">
        <v>2760</v>
      </c>
      <c r="F252" s="222" t="str">
        <f t="shared" ca="1" si="24"/>
        <v>Außenwände (ja = -2; nein = 0)</v>
      </c>
      <c r="G252" s="116"/>
      <c r="H252" s="222" t="s">
        <v>403</v>
      </c>
      <c r="I252" s="222" t="s">
        <v>759</v>
      </c>
      <c r="J252" s="222" t="s">
        <v>1122</v>
      </c>
      <c r="K252" s="222" t="s">
        <v>5292</v>
      </c>
      <c r="L252" s="222" t="s">
        <v>2272</v>
      </c>
      <c r="M252" s="222" t="s">
        <v>3750</v>
      </c>
      <c r="N252" s="222" t="s">
        <v>4421</v>
      </c>
      <c r="O252" s="222" t="s">
        <v>4917</v>
      </c>
    </row>
    <row r="253" spans="1:15" x14ac:dyDescent="0.35">
      <c r="A253" s="4">
        <f t="shared" si="28"/>
        <v>250</v>
      </c>
      <c r="B253" s="116" t="str">
        <f t="shared" ca="1" si="27"/>
        <v>Treppenhäuser (ja = -2; nein = 0)</v>
      </c>
      <c r="C253" s="4">
        <f t="shared" ref="C253:C303" si="29">+C252+1</f>
        <v>250</v>
      </c>
      <c r="D253" s="233" t="s">
        <v>2761</v>
      </c>
      <c r="F253" s="222" t="str">
        <f t="shared" ca="1" si="24"/>
        <v>Verschmutzung</v>
      </c>
      <c r="G253" s="116"/>
      <c r="H253" s="222" t="s">
        <v>404</v>
      </c>
      <c r="I253" s="222" t="s">
        <v>660</v>
      </c>
      <c r="J253" s="222" t="s">
        <v>1123</v>
      </c>
      <c r="K253" s="222" t="s">
        <v>3380</v>
      </c>
      <c r="L253" s="222" t="s">
        <v>2273</v>
      </c>
      <c r="M253" s="222" t="s">
        <v>3751</v>
      </c>
      <c r="N253" s="222" t="s">
        <v>4422</v>
      </c>
      <c r="O253" s="222" t="s">
        <v>4918</v>
      </c>
    </row>
    <row r="254" spans="1:15" ht="29" x14ac:dyDescent="0.35">
      <c r="A254" s="4">
        <f t="shared" si="28"/>
        <v>251</v>
      </c>
      <c r="B254" s="116" t="str">
        <f t="shared" ca="1" si="27"/>
        <v>Aufzüge (ja = -2; nein = 0)</v>
      </c>
      <c r="C254" s="4">
        <f t="shared" si="29"/>
        <v>251</v>
      </c>
      <c r="D254" s="233" t="s">
        <v>2762</v>
      </c>
      <c r="F254" s="222" t="str">
        <f t="shared" ca="1" si="24"/>
        <v>Treppenhäuser (ja = -2; nein = 0)</v>
      </c>
      <c r="G254" s="116"/>
      <c r="H254" s="222" t="s">
        <v>399</v>
      </c>
      <c r="I254" s="222" t="s">
        <v>755</v>
      </c>
      <c r="J254" s="222" t="s">
        <v>3216</v>
      </c>
      <c r="K254" s="222" t="s">
        <v>5288</v>
      </c>
      <c r="L254" s="222" t="s">
        <v>2268</v>
      </c>
      <c r="M254" s="222" t="s">
        <v>3746</v>
      </c>
      <c r="N254" s="222" t="s">
        <v>4417</v>
      </c>
      <c r="O254" s="222" t="s">
        <v>4913</v>
      </c>
    </row>
    <row r="255" spans="1:15" ht="29" x14ac:dyDescent="0.35">
      <c r="A255" s="4">
        <f t="shared" si="28"/>
        <v>252</v>
      </c>
      <c r="B255" s="116" t="str">
        <f t="shared" ca="1" si="27"/>
        <v>Toiletten (ja = -2; nein = 0)</v>
      </c>
      <c r="C255" s="4">
        <f t="shared" si="29"/>
        <v>252</v>
      </c>
      <c r="D255" s="233" t="s">
        <v>2763</v>
      </c>
      <c r="F255" s="222" t="str">
        <f t="shared" ca="1" si="24"/>
        <v>Aufzüge (ja = -2; nein = 0)</v>
      </c>
      <c r="G255" s="116"/>
      <c r="H255" s="222" t="s">
        <v>400</v>
      </c>
      <c r="I255" s="222" t="s">
        <v>756</v>
      </c>
      <c r="J255" s="222" t="s">
        <v>1119</v>
      </c>
      <c r="K255" s="222" t="s">
        <v>5289</v>
      </c>
      <c r="L255" s="222" t="s">
        <v>2269</v>
      </c>
      <c r="M255" s="222" t="s">
        <v>3747</v>
      </c>
      <c r="N255" s="222" t="s">
        <v>4423</v>
      </c>
      <c r="O255" s="222" t="s">
        <v>4914</v>
      </c>
    </row>
    <row r="256" spans="1:15" ht="29" x14ac:dyDescent="0.35">
      <c r="A256" s="4">
        <f t="shared" si="28"/>
        <v>253</v>
      </c>
      <c r="B256" s="116" t="str">
        <f t="shared" ca="1" si="27"/>
        <v>Parkbereich (ja = -2; nein = 0)</v>
      </c>
      <c r="C256" s="4">
        <f t="shared" si="29"/>
        <v>253</v>
      </c>
      <c r="D256" s="233" t="s">
        <v>2764</v>
      </c>
      <c r="F256" s="222" t="str">
        <f t="shared" ca="1" si="24"/>
        <v>Toiletten (ja = -2; nein = 0)</v>
      </c>
      <c r="G256" s="116"/>
      <c r="H256" s="222" t="s">
        <v>401</v>
      </c>
      <c r="I256" s="222" t="s">
        <v>757</v>
      </c>
      <c r="J256" s="222" t="s">
        <v>1124</v>
      </c>
      <c r="K256" s="222" t="s">
        <v>5290</v>
      </c>
      <c r="L256" s="222" t="s">
        <v>2270</v>
      </c>
      <c r="M256" s="222" t="s">
        <v>3748</v>
      </c>
      <c r="N256" s="222" t="s">
        <v>4419</v>
      </c>
      <c r="O256" s="222" t="s">
        <v>4915</v>
      </c>
    </row>
    <row r="257" spans="1:15" ht="29" x14ac:dyDescent="0.35">
      <c r="A257" s="4">
        <f t="shared" si="28"/>
        <v>254</v>
      </c>
      <c r="B257" s="116" t="str">
        <f t="shared" ca="1" si="27"/>
        <v>Zugangs- und Zufahrtsbereiche (ja = -2; nein = 0)</v>
      </c>
      <c r="C257" s="4">
        <f t="shared" si="29"/>
        <v>254</v>
      </c>
      <c r="D257" s="233" t="s">
        <v>2765</v>
      </c>
      <c r="F257" s="222" t="str">
        <f t="shared" ca="1" si="24"/>
        <v>Parkbereich (ja = -2; nein = 0)</v>
      </c>
      <c r="G257" s="116"/>
      <c r="H257" s="222" t="s">
        <v>402</v>
      </c>
      <c r="I257" s="222" t="s">
        <v>758</v>
      </c>
      <c r="J257" s="222" t="s">
        <v>3217</v>
      </c>
      <c r="K257" s="222" t="s">
        <v>5291</v>
      </c>
      <c r="L257" s="222" t="s">
        <v>2271</v>
      </c>
      <c r="M257" s="222" t="s">
        <v>3749</v>
      </c>
      <c r="N257" s="222" t="s">
        <v>4420</v>
      </c>
      <c r="O257" s="222" t="s">
        <v>4916</v>
      </c>
    </row>
    <row r="258" spans="1:15" ht="29" x14ac:dyDescent="0.35">
      <c r="A258" s="4">
        <f t="shared" si="28"/>
        <v>255</v>
      </c>
      <c r="B258" s="116" t="str">
        <f t="shared" ca="1" si="27"/>
        <v>Schlechter Zustand der Malerarbeiten</v>
      </c>
      <c r="C258" s="4">
        <f t="shared" si="29"/>
        <v>255</v>
      </c>
      <c r="D258" s="233" t="s">
        <v>2766</v>
      </c>
      <c r="F258" s="222" t="str">
        <f t="shared" ca="1" si="24"/>
        <v>Zugangs- und Zufahrtsbereiche (ja = -2; nein = 0)</v>
      </c>
      <c r="G258" s="116"/>
      <c r="H258" s="222" t="s">
        <v>405</v>
      </c>
      <c r="I258" s="222" t="s">
        <v>760</v>
      </c>
      <c r="J258" s="222" t="s">
        <v>3218</v>
      </c>
      <c r="K258" s="222" t="s">
        <v>5293</v>
      </c>
      <c r="L258" s="222" t="s">
        <v>2274</v>
      </c>
      <c r="M258" s="222" t="s">
        <v>3752</v>
      </c>
      <c r="N258" s="222" t="s">
        <v>4424</v>
      </c>
      <c r="O258" s="222" t="s">
        <v>4919</v>
      </c>
    </row>
    <row r="259" spans="1:15" x14ac:dyDescent="0.35">
      <c r="A259" s="4">
        <f t="shared" si="28"/>
        <v>256</v>
      </c>
      <c r="B259" s="116" t="str">
        <f t="shared" ca="1" si="27"/>
        <v>Treppenhäuser (ja = -2; nein = 0)</v>
      </c>
      <c r="C259" s="4">
        <f t="shared" si="29"/>
        <v>256</v>
      </c>
      <c r="D259" s="233" t="s">
        <v>2767</v>
      </c>
      <c r="F259" s="222" t="str">
        <f t="shared" ca="1" si="24"/>
        <v>Schlechter Zustand der Malerarbeiten</v>
      </c>
      <c r="G259" s="116"/>
      <c r="H259" s="222" t="s">
        <v>406</v>
      </c>
      <c r="I259" s="222" t="s">
        <v>661</v>
      </c>
      <c r="J259" s="222" t="s">
        <v>1127</v>
      </c>
      <c r="K259" s="222" t="s">
        <v>3381</v>
      </c>
      <c r="L259" s="222" t="s">
        <v>2275</v>
      </c>
      <c r="M259" s="222" t="s">
        <v>3753</v>
      </c>
      <c r="N259" s="222" t="s">
        <v>4425</v>
      </c>
      <c r="O259" s="222" t="s">
        <v>4920</v>
      </c>
    </row>
    <row r="260" spans="1:15" ht="29" x14ac:dyDescent="0.35">
      <c r="A260" s="4">
        <f t="shared" si="28"/>
        <v>257</v>
      </c>
      <c r="B260" s="116" t="str">
        <f t="shared" ca="1" si="27"/>
        <v>Aufzüge (ja = -2; nein = 0)</v>
      </c>
      <c r="C260" s="4">
        <f t="shared" si="29"/>
        <v>257</v>
      </c>
      <c r="D260" s="233" t="s">
        <v>2768</v>
      </c>
      <c r="F260" s="222" t="str">
        <f t="shared" ca="1" si="24"/>
        <v>Treppenhäuser (ja = -2; nein = 0)</v>
      </c>
      <c r="G260" s="116"/>
      <c r="H260" s="222" t="s">
        <v>399</v>
      </c>
      <c r="I260" s="222" t="s">
        <v>755</v>
      </c>
      <c r="J260" s="222" t="s">
        <v>3216</v>
      </c>
      <c r="K260" s="222" t="s">
        <v>5288</v>
      </c>
      <c r="L260" s="222" t="s">
        <v>2276</v>
      </c>
      <c r="M260" s="222" t="s">
        <v>3746</v>
      </c>
      <c r="N260" s="222" t="s">
        <v>4417</v>
      </c>
      <c r="O260" s="222" t="s">
        <v>4913</v>
      </c>
    </row>
    <row r="261" spans="1:15" ht="29" x14ac:dyDescent="0.35">
      <c r="B261" s="57"/>
      <c r="C261" s="4">
        <f t="shared" si="29"/>
        <v>258</v>
      </c>
      <c r="D261" s="233" t="s">
        <v>2769</v>
      </c>
      <c r="F261" s="222" t="str">
        <f t="shared" ca="1" si="24"/>
        <v>Aufzüge (ja = -2; nein = 0)</v>
      </c>
      <c r="H261" s="222" t="s">
        <v>400</v>
      </c>
      <c r="I261" s="222" t="s">
        <v>756</v>
      </c>
      <c r="J261" s="222" t="s">
        <v>1119</v>
      </c>
      <c r="K261" s="222" t="s">
        <v>5289</v>
      </c>
      <c r="L261" s="222" t="s">
        <v>2269</v>
      </c>
      <c r="M261" s="222" t="s">
        <v>3747</v>
      </c>
      <c r="N261" s="222" t="s">
        <v>4423</v>
      </c>
      <c r="O261" s="222" t="s">
        <v>4914</v>
      </c>
    </row>
    <row r="262" spans="1:15" x14ac:dyDescent="0.35">
      <c r="B262" s="57"/>
      <c r="C262" s="4">
        <f t="shared" si="29"/>
        <v>259</v>
      </c>
      <c r="D262" s="233" t="s">
        <v>2770</v>
      </c>
      <c r="F262" s="222" t="str">
        <f t="shared" ca="1" si="24"/>
        <v>Parkbereich (ja = -2; nein = 0)</v>
      </c>
      <c r="H262" s="222" t="s">
        <v>402</v>
      </c>
      <c r="I262" s="231" t="s">
        <v>758</v>
      </c>
      <c r="J262" s="231" t="s">
        <v>3217</v>
      </c>
      <c r="K262" s="231" t="s">
        <v>5291</v>
      </c>
      <c r="L262" s="231" t="s">
        <v>2271</v>
      </c>
      <c r="M262" s="231" t="s">
        <v>3749</v>
      </c>
      <c r="N262" s="231" t="s">
        <v>4420</v>
      </c>
      <c r="O262" s="231" t="s">
        <v>4916</v>
      </c>
    </row>
    <row r="263" spans="1:15" x14ac:dyDescent="0.35">
      <c r="B263" s="57"/>
      <c r="C263" s="4">
        <f t="shared" si="29"/>
        <v>260</v>
      </c>
      <c r="D263" s="233" t="s">
        <v>2771</v>
      </c>
      <c r="F263" s="222" t="str">
        <f t="shared" ca="1" si="24"/>
        <v>Bodenmarkierungen (ja = -2; nein = 0)</v>
      </c>
      <c r="H263" s="222" t="s">
        <v>2772</v>
      </c>
      <c r="I263" s="231" t="s">
        <v>761</v>
      </c>
      <c r="J263" s="231" t="s">
        <v>3219</v>
      </c>
      <c r="K263" s="231" t="s">
        <v>5294</v>
      </c>
      <c r="L263" s="231" t="s">
        <v>3497</v>
      </c>
      <c r="M263" s="231" t="s">
        <v>3754</v>
      </c>
      <c r="N263" s="231" t="s">
        <v>4426</v>
      </c>
      <c r="O263" s="231" t="s">
        <v>4921</v>
      </c>
    </row>
    <row r="264" spans="1:15" ht="29" x14ac:dyDescent="0.35">
      <c r="B264" s="57"/>
      <c r="C264" s="4">
        <f t="shared" si="29"/>
        <v>261</v>
      </c>
      <c r="D264" s="233" t="s">
        <v>2773</v>
      </c>
      <c r="F264" s="222" t="str">
        <f t="shared" ca="1" si="24"/>
        <v>Schlechte Qualität / Instandhaltungsmängel (Schlaglöcher, Schäden)</v>
      </c>
      <c r="H264" s="222" t="s">
        <v>408</v>
      </c>
      <c r="I264" s="231" t="s">
        <v>2991</v>
      </c>
      <c r="J264" s="231" t="s">
        <v>3220</v>
      </c>
      <c r="K264" s="231" t="s">
        <v>3382</v>
      </c>
      <c r="L264" s="231" t="s">
        <v>2278</v>
      </c>
      <c r="M264" s="231" t="s">
        <v>3755</v>
      </c>
      <c r="N264" s="231" t="s">
        <v>4427</v>
      </c>
      <c r="O264" s="231" t="s">
        <v>4922</v>
      </c>
    </row>
    <row r="265" spans="1:15" x14ac:dyDescent="0.35">
      <c r="B265" s="57"/>
      <c r="C265" s="4">
        <f t="shared" si="29"/>
        <v>262</v>
      </c>
      <c r="D265" s="233" t="s">
        <v>2774</v>
      </c>
      <c r="F265" s="222" t="str">
        <f t="shared" ca="1" si="24"/>
        <v>Boden (ja = -2; nein = 0)</v>
      </c>
      <c r="H265" s="222" t="s">
        <v>409</v>
      </c>
      <c r="I265" s="231" t="s">
        <v>758</v>
      </c>
      <c r="J265" s="231" t="s">
        <v>1131</v>
      </c>
      <c r="K265" s="231" t="s">
        <v>3383</v>
      </c>
      <c r="L265" s="231" t="s">
        <v>2279</v>
      </c>
      <c r="M265" s="231" t="s">
        <v>3756</v>
      </c>
      <c r="N265" s="231" t="s">
        <v>4428</v>
      </c>
      <c r="O265" s="231" t="s">
        <v>4923</v>
      </c>
    </row>
    <row r="266" spans="1:15" x14ac:dyDescent="0.35">
      <c r="B266" s="57"/>
      <c r="C266" s="4">
        <f t="shared" si="29"/>
        <v>263</v>
      </c>
      <c r="D266" s="233" t="s">
        <v>2775</v>
      </c>
      <c r="F266" s="222" t="str">
        <f t="shared" ref="F266:F303" ca="1" si="30">OFFSET(G266,0,$C$1)</f>
        <v>Wände (ja = -2; nein = 0)</v>
      </c>
      <c r="H266" s="222" t="s">
        <v>410</v>
      </c>
      <c r="I266" s="231" t="s">
        <v>762</v>
      </c>
      <c r="J266" s="231" t="s">
        <v>1132</v>
      </c>
      <c r="K266" s="231" t="s">
        <v>3384</v>
      </c>
      <c r="L266" s="231" t="s">
        <v>2280</v>
      </c>
      <c r="M266" s="231" t="s">
        <v>3757</v>
      </c>
      <c r="N266" s="231" t="s">
        <v>4429</v>
      </c>
      <c r="O266" s="231" t="s">
        <v>4924</v>
      </c>
    </row>
    <row r="267" spans="1:15" ht="29" x14ac:dyDescent="0.35">
      <c r="B267" s="57"/>
      <c r="C267" s="4">
        <f t="shared" si="29"/>
        <v>264</v>
      </c>
      <c r="D267" s="233" t="s">
        <v>2776</v>
      </c>
      <c r="F267" s="222" t="str">
        <f t="shared" ca="1" si="30"/>
        <v>Neigung zur Pfützenbildung (ja = -2; nein = 0)</v>
      </c>
      <c r="H267" s="222" t="s">
        <v>411</v>
      </c>
      <c r="I267" s="231" t="s">
        <v>763</v>
      </c>
      <c r="J267" s="231" t="s">
        <v>3221</v>
      </c>
      <c r="K267" s="231" t="s">
        <v>5295</v>
      </c>
      <c r="L267" s="231" t="s">
        <v>2281</v>
      </c>
      <c r="M267" s="231" t="s">
        <v>3758</v>
      </c>
      <c r="N267" s="231" t="s">
        <v>4430</v>
      </c>
      <c r="O267" s="231" t="s">
        <v>4925</v>
      </c>
    </row>
    <row r="268" spans="1:15" x14ac:dyDescent="0.35">
      <c r="B268" s="57"/>
      <c r="C268" s="4">
        <f t="shared" si="29"/>
        <v>265</v>
      </c>
      <c r="D268" s="233" t="s">
        <v>2777</v>
      </c>
      <c r="F268" s="222" t="str">
        <f t="shared" ca="1" si="30"/>
        <v>Unangenehmer Geruch</v>
      </c>
      <c r="H268" s="222" t="s">
        <v>412</v>
      </c>
      <c r="I268" s="231" t="s">
        <v>663</v>
      </c>
      <c r="J268" s="231" t="s">
        <v>1134</v>
      </c>
      <c r="K268" s="231" t="s">
        <v>5296</v>
      </c>
      <c r="L268" s="231" t="s">
        <v>2282</v>
      </c>
      <c r="M268" s="231" t="s">
        <v>3759</v>
      </c>
      <c r="N268" s="231" t="s">
        <v>4431</v>
      </c>
      <c r="O268" s="231" t="s">
        <v>4926</v>
      </c>
    </row>
    <row r="269" spans="1:15" x14ac:dyDescent="0.35">
      <c r="B269" s="57"/>
      <c r="C269" s="4">
        <f t="shared" si="29"/>
        <v>266</v>
      </c>
      <c r="D269" s="233" t="s">
        <v>2778</v>
      </c>
      <c r="F269" s="222" t="str">
        <f t="shared" ca="1" si="30"/>
        <v>Aufzüge (ja = 2; nein = 0)</v>
      </c>
      <c r="H269" s="222" t="s">
        <v>413</v>
      </c>
      <c r="I269" s="231" t="s">
        <v>756</v>
      </c>
      <c r="J269" s="231" t="s">
        <v>3216</v>
      </c>
      <c r="K269" s="231" t="s">
        <v>5297</v>
      </c>
      <c r="L269" s="231" t="s">
        <v>2283</v>
      </c>
      <c r="M269" s="231" t="s">
        <v>3760</v>
      </c>
      <c r="N269" s="231" t="s">
        <v>4418</v>
      </c>
      <c r="O269" s="231" t="s">
        <v>4927</v>
      </c>
    </row>
    <row r="270" spans="1:15" x14ac:dyDescent="0.35">
      <c r="B270" s="57"/>
      <c r="C270" s="4">
        <f t="shared" si="29"/>
        <v>267</v>
      </c>
      <c r="D270" s="233" t="s">
        <v>2779</v>
      </c>
      <c r="F270" s="222" t="str">
        <f t="shared" ca="1" si="30"/>
        <v>Treppenhäuser (ja = -2; nein = 0)</v>
      </c>
      <c r="H270" s="222" t="s">
        <v>399</v>
      </c>
      <c r="I270" s="231" t="s">
        <v>755</v>
      </c>
      <c r="J270" s="231" t="s">
        <v>1119</v>
      </c>
      <c r="K270" s="231" t="s">
        <v>5288</v>
      </c>
      <c r="L270" s="231" t="s">
        <v>2276</v>
      </c>
      <c r="M270" s="231" t="s">
        <v>3746</v>
      </c>
      <c r="N270" s="231" t="s">
        <v>4417</v>
      </c>
      <c r="O270" s="231" t="s">
        <v>4913</v>
      </c>
    </row>
    <row r="271" spans="1:15" x14ac:dyDescent="0.35">
      <c r="B271" s="57"/>
      <c r="C271" s="4">
        <f t="shared" si="29"/>
        <v>268</v>
      </c>
      <c r="D271" s="233" t="s">
        <v>2780</v>
      </c>
      <c r="F271" s="222" t="str">
        <f t="shared" ca="1" si="30"/>
        <v>Parkbereich (ja = -2; nein = 0)</v>
      </c>
      <c r="H271" s="222" t="s">
        <v>414</v>
      </c>
      <c r="I271" s="231" t="s">
        <v>758</v>
      </c>
      <c r="J271" s="231" t="s">
        <v>3217</v>
      </c>
      <c r="K271" s="231" t="s">
        <v>5291</v>
      </c>
      <c r="L271" s="231" t="s">
        <v>2284</v>
      </c>
      <c r="M271" s="231" t="s">
        <v>3761</v>
      </c>
      <c r="N271" s="231" t="s">
        <v>4420</v>
      </c>
      <c r="O271" s="231" t="s">
        <v>4916</v>
      </c>
    </row>
    <row r="272" spans="1:15" ht="43.5" x14ac:dyDescent="0.35">
      <c r="B272" s="57"/>
      <c r="C272" s="4">
        <f t="shared" si="29"/>
        <v>269</v>
      </c>
      <c r="D272" s="233" t="s">
        <v>2781</v>
      </c>
      <c r="F272" s="222" t="str">
        <f t="shared" ca="1" si="30"/>
        <v>Mehr als 15% der Stellplätze in Sackgassen ohne Belegungsanzeige (ja = -5; nein = 0)</v>
      </c>
      <c r="H272" s="222" t="s">
        <v>415</v>
      </c>
      <c r="I272" s="564" t="s">
        <v>764</v>
      </c>
      <c r="J272" s="564" t="s">
        <v>3222</v>
      </c>
      <c r="K272" s="564" t="s">
        <v>5298</v>
      </c>
      <c r="L272" s="564" t="s">
        <v>2285</v>
      </c>
      <c r="M272" s="564" t="s">
        <v>3762</v>
      </c>
      <c r="N272" s="564" t="s">
        <v>4432</v>
      </c>
      <c r="O272" s="564" t="s">
        <v>4928</v>
      </c>
    </row>
    <row r="273" spans="2:15" ht="72.5" x14ac:dyDescent="0.35">
      <c r="B273" s="116"/>
      <c r="C273" s="4">
        <f t="shared" si="29"/>
        <v>270</v>
      </c>
      <c r="D273" s="233" t="s">
        <v>2782</v>
      </c>
      <c r="F273" s="222" t="str">
        <f t="shared" ca="1" si="30"/>
        <v>Verschiedene Kritikpunte (bitte erläutern!)
[z.B. unerwünschter Lärm, quietschende Reifen, unerwünschte Personen, etc] bis -10</v>
      </c>
      <c r="G273" s="116"/>
      <c r="H273" s="222" t="s">
        <v>107</v>
      </c>
      <c r="I273" s="222" t="s">
        <v>765</v>
      </c>
      <c r="J273" s="222" t="s">
        <v>3223</v>
      </c>
      <c r="K273" s="222" t="s">
        <v>5361</v>
      </c>
      <c r="L273" s="222" t="s">
        <v>2286</v>
      </c>
      <c r="M273" s="222" t="s">
        <v>3763</v>
      </c>
      <c r="N273" s="222" t="s">
        <v>4433</v>
      </c>
      <c r="O273" s="222" t="s">
        <v>4929</v>
      </c>
    </row>
    <row r="274" spans="2:15" ht="29" x14ac:dyDescent="0.35">
      <c r="B274" s="116"/>
      <c r="C274" s="4">
        <f t="shared" si="29"/>
        <v>271</v>
      </c>
      <c r="D274" s="233" t="s">
        <v>2783</v>
      </c>
      <c r="F274" s="222" t="str">
        <f t="shared" ca="1" si="30"/>
        <v>Strafabzug für Mindestanforderung (1.4 kommt zur Anwendung)</v>
      </c>
      <c r="G274" s="116"/>
      <c r="H274" s="222" t="s">
        <v>1772</v>
      </c>
      <c r="I274" s="222" t="s">
        <v>2532</v>
      </c>
      <c r="J274" s="222" t="s">
        <v>3224</v>
      </c>
      <c r="K274" s="222" t="s">
        <v>5299</v>
      </c>
      <c r="L274" s="222" t="s">
        <v>2341</v>
      </c>
      <c r="M274" s="222" t="s">
        <v>3764</v>
      </c>
      <c r="N274" s="222" t="s">
        <v>4434</v>
      </c>
      <c r="O274" s="222" t="s">
        <v>4930</v>
      </c>
    </row>
    <row r="275" spans="2:15" x14ac:dyDescent="0.35">
      <c r="B275" s="57"/>
      <c r="C275" s="4">
        <f t="shared" si="29"/>
        <v>272</v>
      </c>
      <c r="D275" s="233" t="s">
        <v>12</v>
      </c>
      <c r="F275" s="232" t="str">
        <f t="shared" ca="1" si="30"/>
        <v>Bonuspunkte</v>
      </c>
      <c r="H275" s="569" t="s">
        <v>186</v>
      </c>
      <c r="I275" s="569" t="s">
        <v>664</v>
      </c>
      <c r="J275" s="569" t="s">
        <v>3225</v>
      </c>
      <c r="K275" s="569" t="s">
        <v>1598</v>
      </c>
      <c r="L275" s="569" t="s">
        <v>2287</v>
      </c>
      <c r="M275" s="569" t="s">
        <v>3765</v>
      </c>
      <c r="N275" s="569" t="s">
        <v>4435</v>
      </c>
      <c r="O275" s="569" t="s">
        <v>4931</v>
      </c>
    </row>
    <row r="276" spans="2:15" ht="29" x14ac:dyDescent="0.35">
      <c r="B276" s="116"/>
      <c r="C276" s="4">
        <f t="shared" si="29"/>
        <v>273</v>
      </c>
      <c r="D276" s="233" t="s">
        <v>2784</v>
      </c>
      <c r="F276" s="222" t="str">
        <f t="shared" ca="1" si="30"/>
        <v>zusätzliche Einrichtungen in der Parkeinrichtung</v>
      </c>
      <c r="G276" s="116"/>
      <c r="H276" s="222" t="s">
        <v>416</v>
      </c>
      <c r="I276" s="222" t="s">
        <v>665</v>
      </c>
      <c r="J276" s="222" t="s">
        <v>1139</v>
      </c>
      <c r="K276" s="222" t="s">
        <v>5300</v>
      </c>
      <c r="L276" s="222" t="s">
        <v>2342</v>
      </c>
      <c r="M276" s="222" t="s">
        <v>3766</v>
      </c>
      <c r="N276" s="222" t="s">
        <v>4436</v>
      </c>
      <c r="O276" s="222" t="s">
        <v>4932</v>
      </c>
    </row>
    <row r="277" spans="2:15" ht="29" x14ac:dyDescent="0.35">
      <c r="B277" s="116"/>
      <c r="C277" s="4">
        <f t="shared" si="29"/>
        <v>274</v>
      </c>
      <c r="D277" s="233" t="s">
        <v>2785</v>
      </c>
      <c r="F277" s="222" t="str">
        <f t="shared" ca="1" si="30"/>
        <v>Separater Motorradbereich (ja = 1; nein = 0)</v>
      </c>
      <c r="G277" s="116"/>
      <c r="H277" s="222" t="s">
        <v>417</v>
      </c>
      <c r="I277" s="222" t="s">
        <v>766</v>
      </c>
      <c r="J277" s="222" t="s">
        <v>3226</v>
      </c>
      <c r="K277" s="222" t="s">
        <v>5301</v>
      </c>
      <c r="L277" s="222" t="s">
        <v>2288</v>
      </c>
      <c r="M277" s="222" t="s">
        <v>3767</v>
      </c>
      <c r="N277" s="222" t="s">
        <v>4437</v>
      </c>
      <c r="O277" s="222" t="s">
        <v>4933</v>
      </c>
    </row>
    <row r="278" spans="2:15" ht="29" x14ac:dyDescent="0.35">
      <c r="B278" s="116"/>
      <c r="C278" s="4">
        <f t="shared" si="29"/>
        <v>275</v>
      </c>
      <c r="D278" s="233" t="s">
        <v>2786</v>
      </c>
      <c r="F278" s="222" t="str">
        <f t="shared" ca="1" si="30"/>
        <v>Schließfächer für Kunden (ja = 1; nein = 0)</v>
      </c>
      <c r="G278" s="116"/>
      <c r="H278" s="222" t="s">
        <v>418</v>
      </c>
      <c r="I278" s="222" t="s">
        <v>767</v>
      </c>
      <c r="J278" s="222" t="s">
        <v>3227</v>
      </c>
      <c r="K278" s="222" t="s">
        <v>5302</v>
      </c>
      <c r="L278" s="222" t="s">
        <v>2289</v>
      </c>
      <c r="M278" s="222" t="s">
        <v>3768</v>
      </c>
      <c r="N278" s="222" t="s">
        <v>4438</v>
      </c>
      <c r="O278" s="222" t="s">
        <v>4934</v>
      </c>
    </row>
    <row r="279" spans="2:15" ht="29" x14ac:dyDescent="0.35">
      <c r="B279" s="116"/>
      <c r="C279" s="4">
        <f t="shared" si="29"/>
        <v>276</v>
      </c>
      <c r="D279" s="233" t="s">
        <v>2787</v>
      </c>
      <c r="F279" s="222" t="str">
        <f t="shared" ca="1" si="30"/>
        <v>sonstige Hilfen (ja = 1; nein = 0)</v>
      </c>
      <c r="G279" s="116"/>
      <c r="H279" s="222" t="s">
        <v>419</v>
      </c>
      <c r="I279" s="222" t="s">
        <v>768</v>
      </c>
      <c r="J279" s="222" t="s">
        <v>3228</v>
      </c>
      <c r="K279" s="222" t="s">
        <v>3385</v>
      </c>
      <c r="L279" s="222" t="s">
        <v>2290</v>
      </c>
      <c r="M279" s="222" t="s">
        <v>3769</v>
      </c>
      <c r="N279" s="222" t="s">
        <v>4439</v>
      </c>
      <c r="O279" s="222" t="s">
        <v>4935</v>
      </c>
    </row>
    <row r="280" spans="2:15" ht="29" x14ac:dyDescent="0.35">
      <c r="B280" s="116"/>
      <c r="C280" s="4">
        <f t="shared" si="29"/>
        <v>277</v>
      </c>
      <c r="D280" s="233" t="s">
        <v>2788</v>
      </c>
      <c r="F280" s="222" t="str">
        <f t="shared" ca="1" si="30"/>
        <v>Fahradverleih (ja = 1; nein = 0)</v>
      </c>
      <c r="G280" s="116"/>
      <c r="H280" s="222" t="s">
        <v>420</v>
      </c>
      <c r="I280" s="222" t="s">
        <v>769</v>
      </c>
      <c r="J280" s="222" t="s">
        <v>1143</v>
      </c>
      <c r="K280" s="222" t="s">
        <v>5303</v>
      </c>
      <c r="L280" s="222" t="s">
        <v>2291</v>
      </c>
      <c r="M280" s="222" t="s">
        <v>3770</v>
      </c>
      <c r="N280" s="222" t="s">
        <v>4440</v>
      </c>
      <c r="O280" s="222" t="s">
        <v>4936</v>
      </c>
    </row>
    <row r="281" spans="2:15" ht="29" x14ac:dyDescent="0.35">
      <c r="B281" s="116"/>
      <c r="C281" s="4">
        <f t="shared" si="29"/>
        <v>278</v>
      </c>
      <c r="D281" s="233" t="s">
        <v>2789</v>
      </c>
      <c r="F281" s="222" t="str">
        <f t="shared" ca="1" si="30"/>
        <v>sonstige Fahrerunterstützung (ja = 1; nein = 0)</v>
      </c>
      <c r="G281" s="116"/>
      <c r="H281" s="222" t="s">
        <v>421</v>
      </c>
      <c r="I281" s="222" t="s">
        <v>770</v>
      </c>
      <c r="J281" s="222" t="s">
        <v>1144</v>
      </c>
      <c r="K281" s="222" t="s">
        <v>5304</v>
      </c>
      <c r="L281" s="222" t="s">
        <v>2292</v>
      </c>
      <c r="M281" s="222" t="s">
        <v>3771</v>
      </c>
      <c r="N281" s="222" t="s">
        <v>4441</v>
      </c>
      <c r="O281" s="222" t="s">
        <v>4937</v>
      </c>
    </row>
    <row r="282" spans="2:15" ht="29" x14ac:dyDescent="0.35">
      <c r="B282" s="116"/>
      <c r="C282" s="4">
        <f t="shared" si="29"/>
        <v>279</v>
      </c>
      <c r="D282" s="233" t="s">
        <v>2790</v>
      </c>
      <c r="F282" s="222" t="str">
        <f t="shared" ca="1" si="30"/>
        <v>Verkaufsmaschinen (ja = 1; nein = 0)</v>
      </c>
      <c r="G282" s="116"/>
      <c r="H282" s="222" t="s">
        <v>422</v>
      </c>
      <c r="I282" s="222" t="s">
        <v>771</v>
      </c>
      <c r="J282" s="222" t="s">
        <v>3229</v>
      </c>
      <c r="K282" s="222" t="s">
        <v>3386</v>
      </c>
      <c r="L282" s="222" t="s">
        <v>2343</v>
      </c>
      <c r="M282" s="222" t="s">
        <v>3772</v>
      </c>
      <c r="N282" s="222" t="s">
        <v>4442</v>
      </c>
      <c r="O282" s="222" t="s">
        <v>4938</v>
      </c>
    </row>
    <row r="283" spans="2:15" ht="29" x14ac:dyDescent="0.35">
      <c r="B283" s="116"/>
      <c r="C283" s="4">
        <f t="shared" si="29"/>
        <v>280</v>
      </c>
      <c r="D283" s="233" t="s">
        <v>2791</v>
      </c>
      <c r="F283" s="222" t="str">
        <f t="shared" ca="1" si="30"/>
        <v>Defibrillator (ja = 1; nein = 0)</v>
      </c>
      <c r="G283" s="116"/>
      <c r="H283" s="222" t="s">
        <v>423</v>
      </c>
      <c r="I283" s="222" t="s">
        <v>772</v>
      </c>
      <c r="J283" s="222" t="s">
        <v>3230</v>
      </c>
      <c r="K283" s="222" t="s">
        <v>3387</v>
      </c>
      <c r="L283" s="222" t="s">
        <v>2293</v>
      </c>
      <c r="M283" s="222" t="s">
        <v>3773</v>
      </c>
      <c r="N283" s="222" t="s">
        <v>4443</v>
      </c>
      <c r="O283" s="222" t="s">
        <v>4939</v>
      </c>
    </row>
    <row r="284" spans="2:15" ht="29" x14ac:dyDescent="0.35">
      <c r="B284" s="116"/>
      <c r="C284" s="4">
        <f t="shared" si="29"/>
        <v>281</v>
      </c>
      <c r="D284" s="233" t="s">
        <v>2792</v>
      </c>
      <c r="F284" s="222" t="str">
        <f t="shared" ca="1" si="30"/>
        <v>Personal mit Erster Hilfe-Ausbildung (ja = 1; nein = 0)</v>
      </c>
      <c r="G284" s="116"/>
      <c r="H284" s="222" t="s">
        <v>424</v>
      </c>
      <c r="I284" s="222" t="s">
        <v>773</v>
      </c>
      <c r="J284" s="222" t="s">
        <v>1147</v>
      </c>
      <c r="K284" s="222" t="s">
        <v>3388</v>
      </c>
      <c r="L284" s="222" t="s">
        <v>3498</v>
      </c>
      <c r="M284" s="222" t="s">
        <v>3774</v>
      </c>
      <c r="N284" s="222" t="s">
        <v>4444</v>
      </c>
      <c r="O284" s="222" t="s">
        <v>4940</v>
      </c>
    </row>
    <row r="285" spans="2:15" ht="29" x14ac:dyDescent="0.35">
      <c r="B285" s="116"/>
      <c r="C285" s="4">
        <f t="shared" si="29"/>
        <v>282</v>
      </c>
      <c r="D285" s="233" t="s">
        <v>2793</v>
      </c>
      <c r="F285" s="222" t="str">
        <f t="shared" ca="1" si="30"/>
        <v>Echtzeit-Verkehrsdaten (ja = 1; nein = 0)</v>
      </c>
      <c r="G285" s="116"/>
      <c r="H285" s="222" t="s">
        <v>425</v>
      </c>
      <c r="I285" s="222" t="s">
        <v>774</v>
      </c>
      <c r="J285" s="222" t="s">
        <v>3231</v>
      </c>
      <c r="K285" s="222" t="s">
        <v>3389</v>
      </c>
      <c r="L285" s="222" t="s">
        <v>2295</v>
      </c>
      <c r="M285" s="222" t="s">
        <v>3775</v>
      </c>
      <c r="N285" s="222" t="s">
        <v>4445</v>
      </c>
      <c r="O285" s="222" t="s">
        <v>4941</v>
      </c>
    </row>
    <row r="286" spans="2:15" ht="43.5" x14ac:dyDescent="0.35">
      <c r="B286" s="116"/>
      <c r="C286" s="4">
        <f t="shared" si="29"/>
        <v>283</v>
      </c>
      <c r="D286" s="233" t="s">
        <v>2794</v>
      </c>
      <c r="F286" s="222" t="str">
        <f t="shared" ca="1" si="30"/>
        <v>Datenaustausch via APDS Standard (ja = 1; nein = 0)</v>
      </c>
      <c r="G286" s="116"/>
      <c r="H286" s="222" t="s">
        <v>2591</v>
      </c>
      <c r="I286" s="222" t="s">
        <v>2992</v>
      </c>
      <c r="J286" s="222" t="s">
        <v>3232</v>
      </c>
      <c r="K286" s="222" t="s">
        <v>5305</v>
      </c>
      <c r="L286" s="222" t="s">
        <v>3499</v>
      </c>
      <c r="M286" s="222" t="s">
        <v>3776</v>
      </c>
      <c r="N286" s="222" t="s">
        <v>4446</v>
      </c>
      <c r="O286" s="222" t="s">
        <v>4942</v>
      </c>
    </row>
    <row r="287" spans="2:15" ht="43.5" x14ac:dyDescent="0.35">
      <c r="B287" s="116"/>
      <c r="C287" s="4">
        <f t="shared" si="29"/>
        <v>284</v>
      </c>
      <c r="D287" s="233" t="s">
        <v>2795</v>
      </c>
      <c r="F287" s="222" t="str">
        <f t="shared" ca="1" si="30"/>
        <v>sonstige Echtzeit-Informationen (z.B. lokale Veranstaltungen) (ja = 1; nein = 0)</v>
      </c>
      <c r="G287" s="116"/>
      <c r="H287" s="222" t="s">
        <v>426</v>
      </c>
      <c r="I287" s="222" t="s">
        <v>775</v>
      </c>
      <c r="J287" s="222" t="s">
        <v>3233</v>
      </c>
      <c r="K287" s="222" t="s">
        <v>3390</v>
      </c>
      <c r="L287" s="222" t="s">
        <v>2296</v>
      </c>
      <c r="M287" s="222" t="s">
        <v>3777</v>
      </c>
      <c r="N287" s="222" t="s">
        <v>4447</v>
      </c>
      <c r="O287" s="222" t="s">
        <v>4943</v>
      </c>
    </row>
    <row r="288" spans="2:15" ht="58" x14ac:dyDescent="0.35">
      <c r="B288" s="116"/>
      <c r="C288" s="4">
        <f t="shared" si="29"/>
        <v>285</v>
      </c>
      <c r="D288" s="233" t="s">
        <v>2796</v>
      </c>
      <c r="F288" s="222" t="str">
        <f t="shared" ca="1" si="30"/>
        <v>Maßnahmen, um Staus in Stoßzeiten zu verhindern (z.B. Wechselspuren) (ja = 3; nein = 0)</v>
      </c>
      <c r="G288" s="116"/>
      <c r="H288" s="222" t="s">
        <v>427</v>
      </c>
      <c r="I288" s="222" t="s">
        <v>776</v>
      </c>
      <c r="J288" s="222" t="s">
        <v>3234</v>
      </c>
      <c r="K288" s="222" t="s">
        <v>3391</v>
      </c>
      <c r="L288" s="222" t="s">
        <v>2297</v>
      </c>
      <c r="M288" s="222" t="s">
        <v>3778</v>
      </c>
      <c r="N288" s="222" t="s">
        <v>4448</v>
      </c>
      <c r="O288" s="222" t="s">
        <v>4944</v>
      </c>
    </row>
    <row r="289" spans="2:15" ht="72.5" x14ac:dyDescent="0.35">
      <c r="B289" s="116"/>
      <c r="C289" s="4">
        <f t="shared" si="29"/>
        <v>286</v>
      </c>
      <c r="D289" s="233" t="s">
        <v>2797</v>
      </c>
      <c r="F289" s="222" t="str">
        <f t="shared" ca="1" si="30"/>
        <v>Wendemöglichkeit vor der Höhenbeschränkung oder rechtzeitige Anzeige, um ein Wenden zu verhindern. (ja = 3; nein = 0)</v>
      </c>
      <c r="G289" s="116"/>
      <c r="H289" s="222" t="s">
        <v>428</v>
      </c>
      <c r="I289" s="222" t="s">
        <v>777</v>
      </c>
      <c r="J289" s="222" t="s">
        <v>3235</v>
      </c>
      <c r="K289" s="222" t="s">
        <v>3392</v>
      </c>
      <c r="L289" s="222" t="s">
        <v>2344</v>
      </c>
      <c r="M289" s="222" t="s">
        <v>3779</v>
      </c>
      <c r="N289" s="222" t="s">
        <v>4449</v>
      </c>
      <c r="O289" s="222" t="s">
        <v>4945</v>
      </c>
    </row>
    <row r="290" spans="2:15" ht="29" x14ac:dyDescent="0.35">
      <c r="B290" s="116"/>
      <c r="C290" s="4">
        <f t="shared" si="29"/>
        <v>287</v>
      </c>
      <c r="D290" s="233" t="s">
        <v>2798</v>
      </c>
      <c r="F290" s="222" t="str">
        <f t="shared" ca="1" si="30"/>
        <v>(besetzter) Kundenschalter (ja = 1; nein = 0)</v>
      </c>
      <c r="G290" s="116"/>
      <c r="H290" s="222" t="s">
        <v>429</v>
      </c>
      <c r="I290" s="222" t="s">
        <v>778</v>
      </c>
      <c r="J290" s="222" t="s">
        <v>3236</v>
      </c>
      <c r="K290" s="222" t="s">
        <v>5306</v>
      </c>
      <c r="L290" s="222" t="s">
        <v>2298</v>
      </c>
      <c r="M290" s="222" t="s">
        <v>3780</v>
      </c>
      <c r="N290" s="222" t="s">
        <v>4450</v>
      </c>
      <c r="O290" s="222" t="s">
        <v>4946</v>
      </c>
    </row>
    <row r="291" spans="2:15" ht="72.5" x14ac:dyDescent="0.35">
      <c r="B291" s="116"/>
      <c r="C291" s="4">
        <f t="shared" si="29"/>
        <v>288</v>
      </c>
      <c r="D291" s="233" t="s">
        <v>2799</v>
      </c>
      <c r="F291" s="222" t="str">
        <f t="shared" ca="1" si="30"/>
        <v>Rolltreppen und/oder Rollbänder
(in/von allen Ebenen = 5; in/von einigen Ebenen = 3; keine = 0)</v>
      </c>
      <c r="G291" s="116"/>
      <c r="H291" s="222" t="s">
        <v>264</v>
      </c>
      <c r="I291" s="222" t="s">
        <v>779</v>
      </c>
      <c r="J291" s="222" t="s">
        <v>3237</v>
      </c>
      <c r="K291" s="222" t="s">
        <v>3393</v>
      </c>
      <c r="L291" s="222" t="s">
        <v>2299</v>
      </c>
      <c r="M291" s="222" t="s">
        <v>3781</v>
      </c>
      <c r="N291" s="222" t="s">
        <v>4451</v>
      </c>
      <c r="O291" s="222" t="s">
        <v>4947</v>
      </c>
    </row>
    <row r="292" spans="2:15" ht="58" x14ac:dyDescent="0.35">
      <c r="B292" s="116"/>
      <c r="C292" s="4">
        <f t="shared" si="29"/>
        <v>289</v>
      </c>
      <c r="D292" s="233" t="s">
        <v>2800</v>
      </c>
      <c r="F292" s="222" t="str">
        <f t="shared" ca="1" si="30"/>
        <v>Auffindbarkeit des geparkten Fahrzeugs anhand des Tickets oder Kennzeichens (ja = 1; nein ) 0)</v>
      </c>
      <c r="G292" s="116"/>
      <c r="H292" s="222" t="s">
        <v>335</v>
      </c>
      <c r="I292" s="222" t="s">
        <v>780</v>
      </c>
      <c r="J292" s="222" t="s">
        <v>3238</v>
      </c>
      <c r="K292" s="222" t="s">
        <v>3394</v>
      </c>
      <c r="L292" s="222" t="s">
        <v>2300</v>
      </c>
      <c r="M292" s="222" t="s">
        <v>3782</v>
      </c>
      <c r="N292" s="222" t="s">
        <v>4452</v>
      </c>
      <c r="O292" s="222" t="s">
        <v>4948</v>
      </c>
    </row>
    <row r="293" spans="2:15" ht="43.5" x14ac:dyDescent="0.35">
      <c r="B293" s="116"/>
      <c r="C293" s="4">
        <f t="shared" si="29"/>
        <v>290</v>
      </c>
      <c r="D293" s="233" t="s">
        <v>2801</v>
      </c>
      <c r="F293" s="222" t="str">
        <f t="shared" ca="1" si="30"/>
        <v>Schrankenloses Parken mit Kennzeichenerkennung (Free Flow): 1 Zusatzpunkt</v>
      </c>
      <c r="G293" s="116"/>
      <c r="H293" s="222" t="s">
        <v>2592</v>
      </c>
      <c r="I293" s="222" t="s">
        <v>2993</v>
      </c>
      <c r="J293" s="222" t="s">
        <v>3239</v>
      </c>
      <c r="K293" s="222" t="s">
        <v>5307</v>
      </c>
      <c r="L293" s="222" t="s">
        <v>3500</v>
      </c>
      <c r="M293" s="222" t="s">
        <v>3783</v>
      </c>
      <c r="N293" s="222" t="s">
        <v>4453</v>
      </c>
      <c r="O293" s="222" t="s">
        <v>4949</v>
      </c>
    </row>
    <row r="294" spans="2:15" ht="72.5" x14ac:dyDescent="0.35">
      <c r="B294" s="116"/>
      <c r="C294" s="4">
        <f t="shared" si="29"/>
        <v>291</v>
      </c>
      <c r="D294" s="233" t="s">
        <v>2802</v>
      </c>
      <c r="F294" s="222" t="str">
        <f t="shared" ca="1" si="30"/>
        <v>Park &amp; Ride / öffentlicher Verkehrsknotenpunkt beim Fußgängerausgang: ja = 1; nein = 0; Anzeige der aktuellen Abfahrtszeiten: 1 Zusatzpunkt</v>
      </c>
      <c r="G294" s="116"/>
      <c r="H294" s="222" t="s">
        <v>2593</v>
      </c>
      <c r="I294" s="222" t="s">
        <v>2994</v>
      </c>
      <c r="J294" s="222" t="s">
        <v>3240</v>
      </c>
      <c r="K294" s="222" t="s">
        <v>5308</v>
      </c>
      <c r="L294" s="222" t="s">
        <v>3501</v>
      </c>
      <c r="M294" s="222" t="s">
        <v>3784</v>
      </c>
      <c r="N294" s="222" t="s">
        <v>4454</v>
      </c>
      <c r="O294" s="222" t="s">
        <v>4950</v>
      </c>
    </row>
    <row r="295" spans="2:15" ht="58" x14ac:dyDescent="0.35">
      <c r="B295" s="116"/>
      <c r="C295" s="4">
        <f t="shared" si="29"/>
        <v>292</v>
      </c>
      <c r="D295" s="233" t="s">
        <v>2803</v>
      </c>
      <c r="F295" s="222" t="str">
        <f t="shared" ca="1" si="30"/>
        <v>Unterstützung von autonomen Fahrzeugen (AVP) in eigenen Bereichen der Parkeinrichtung: ja = 5; nein = 0</v>
      </c>
      <c r="G295" s="116"/>
      <c r="H295" s="222" t="s">
        <v>2594</v>
      </c>
      <c r="I295" s="222" t="s">
        <v>2995</v>
      </c>
      <c r="J295" s="222" t="s">
        <v>3241</v>
      </c>
      <c r="K295" s="222" t="s">
        <v>5309</v>
      </c>
      <c r="L295" s="222" t="s">
        <v>3502</v>
      </c>
      <c r="M295" s="222" t="s">
        <v>3785</v>
      </c>
      <c r="N295" s="222" t="s">
        <v>4455</v>
      </c>
      <c r="O295" s="222" t="s">
        <v>4951</v>
      </c>
    </row>
    <row r="296" spans="2:15" ht="116" x14ac:dyDescent="0.35">
      <c r="B296" s="116"/>
      <c r="C296" s="4">
        <f t="shared" si="29"/>
        <v>293</v>
      </c>
      <c r="D296" s="233" t="s">
        <v>2804</v>
      </c>
      <c r="F296" s="222" t="str">
        <f t="shared" ca="1" si="30"/>
        <v>Sonstige positive Punke: z.B. besonderer Service, freundliche Mitarbeiter, Fliesen an den Wänden / Böden; gutes Einfügen der Parkeinrichtung in das Stadtbild: bis zu 10 Punkte extra (bitte ausführen)</v>
      </c>
      <c r="G296" s="116"/>
      <c r="H296" s="222" t="s">
        <v>537</v>
      </c>
      <c r="I296" s="222" t="s">
        <v>2996</v>
      </c>
      <c r="J296" s="222" t="s">
        <v>3242</v>
      </c>
      <c r="K296" s="222" t="s">
        <v>5310</v>
      </c>
      <c r="L296" s="222" t="s">
        <v>2301</v>
      </c>
      <c r="M296" s="222" t="s">
        <v>3786</v>
      </c>
      <c r="N296" s="222" t="s">
        <v>4456</v>
      </c>
      <c r="O296" s="222" t="s">
        <v>4952</v>
      </c>
    </row>
    <row r="297" spans="2:15" ht="43.5" x14ac:dyDescent="0.35">
      <c r="B297" s="116"/>
      <c r="C297" s="4">
        <f t="shared" si="29"/>
        <v>294</v>
      </c>
      <c r="D297" s="233" t="s">
        <v>2805</v>
      </c>
      <c r="F297" s="222" t="str">
        <f t="shared" ca="1" si="30"/>
        <v>Wurde ein Lebenszyklus für das Gebäude erstellt und veröffentlicht? (ja = 1; nein = 0)</v>
      </c>
      <c r="G297" s="116"/>
      <c r="H297" s="222" t="s">
        <v>3504</v>
      </c>
      <c r="I297" s="222" t="s">
        <v>2997</v>
      </c>
      <c r="J297" s="222" t="s">
        <v>3243</v>
      </c>
      <c r="K297" s="222" t="s">
        <v>5311</v>
      </c>
      <c r="L297" s="222" t="s">
        <v>3503</v>
      </c>
      <c r="M297" s="222" t="s">
        <v>3787</v>
      </c>
      <c r="N297" s="222" t="s">
        <v>4457</v>
      </c>
      <c r="O297" s="222" t="s">
        <v>4953</v>
      </c>
    </row>
    <row r="298" spans="2:15" ht="58" x14ac:dyDescent="0.35">
      <c r="B298" s="116"/>
      <c r="C298" s="4">
        <f t="shared" si="29"/>
        <v>295</v>
      </c>
      <c r="D298" s="233" t="s">
        <v>2807</v>
      </c>
      <c r="F298" s="222" t="str">
        <f t="shared" ca="1" si="30"/>
        <v>Gibt es einen Nachhaltigkeitsplan (inkl. Recycling nach Nutzungsende)? (ja = 1; nein = 0)</v>
      </c>
      <c r="G298" s="116"/>
      <c r="H298" s="222" t="s">
        <v>2923</v>
      </c>
      <c r="I298" s="222" t="s">
        <v>2998</v>
      </c>
      <c r="J298" s="222" t="s">
        <v>3244</v>
      </c>
      <c r="K298" s="222" t="s">
        <v>5312</v>
      </c>
      <c r="L298" s="222" t="s">
        <v>3505</v>
      </c>
      <c r="M298" s="222" t="s">
        <v>3788</v>
      </c>
      <c r="N298" s="222" t="s">
        <v>4458</v>
      </c>
      <c r="O298" s="222" t="s">
        <v>4954</v>
      </c>
    </row>
    <row r="299" spans="2:15" ht="58" x14ac:dyDescent="0.35">
      <c r="B299" s="116"/>
      <c r="C299" s="4">
        <f t="shared" si="29"/>
        <v>296</v>
      </c>
      <c r="D299" s="233" t="s">
        <v>2808</v>
      </c>
      <c r="F299" s="222" t="str">
        <f t="shared" ca="1" si="30"/>
        <v>Wird der tägliche, monatliche und jährliche Energiebedarf im Fußgängerbereich angezeigt? (ja = 1; nein = 0)</v>
      </c>
      <c r="G299" s="116"/>
      <c r="H299" s="222" t="s">
        <v>2806</v>
      </c>
      <c r="I299" s="222" t="s">
        <v>2999</v>
      </c>
      <c r="J299" s="222" t="s">
        <v>3245</v>
      </c>
      <c r="K299" s="222" t="s">
        <v>5313</v>
      </c>
      <c r="L299" s="222" t="s">
        <v>3506</v>
      </c>
      <c r="M299" s="222" t="s">
        <v>3789</v>
      </c>
      <c r="N299" s="222" t="s">
        <v>4459</v>
      </c>
      <c r="O299" s="222" t="s">
        <v>4955</v>
      </c>
    </row>
    <row r="300" spans="2:15" ht="29" x14ac:dyDescent="0.35">
      <c r="B300" s="116"/>
      <c r="C300" s="4">
        <f t="shared" si="29"/>
        <v>297</v>
      </c>
      <c r="F300" s="222" t="str">
        <f t="shared" ca="1" si="30"/>
        <v>Gold Award</v>
      </c>
      <c r="G300" s="116"/>
      <c r="H300" s="222" t="s">
        <v>2595</v>
      </c>
      <c r="I300" s="222" t="s">
        <v>3000</v>
      </c>
      <c r="J300" s="222" t="s">
        <v>2595</v>
      </c>
      <c r="K300" s="222" t="s">
        <v>1730</v>
      </c>
      <c r="L300" s="222" t="s">
        <v>1730</v>
      </c>
      <c r="M300" s="222" t="s">
        <v>3790</v>
      </c>
      <c r="N300" s="222" t="s">
        <v>4460</v>
      </c>
      <c r="O300" s="222" t="s">
        <v>4956</v>
      </c>
    </row>
    <row r="301" spans="2:15" ht="72.5" x14ac:dyDescent="0.35">
      <c r="B301" s="116"/>
      <c r="C301" s="4">
        <f t="shared" si="29"/>
        <v>298</v>
      </c>
      <c r="D301" s="233" t="s">
        <v>2815</v>
      </c>
      <c r="F301" s="222" t="str">
        <f t="shared" ca="1" si="30"/>
        <v>Mindestdurchfahrtshöhe = 2,00 m  im öffentlich zugänglichen Bereich. Einzelne niedrigere Stellen müssen deutlich gekennzeichnet sein.</v>
      </c>
      <c r="G301" s="116"/>
      <c r="H301" s="222" t="s">
        <v>1758</v>
      </c>
      <c r="I301" s="222" t="s">
        <v>3001</v>
      </c>
      <c r="J301" s="222" t="s">
        <v>3246</v>
      </c>
      <c r="K301" s="222" t="s">
        <v>5314</v>
      </c>
      <c r="L301" s="222" t="s">
        <v>2092</v>
      </c>
      <c r="M301" s="222" t="s">
        <v>3791</v>
      </c>
      <c r="N301" s="222" t="s">
        <v>4461</v>
      </c>
      <c r="O301" s="222" t="s">
        <v>4957</v>
      </c>
    </row>
    <row r="302" spans="2:15" ht="101.5" x14ac:dyDescent="0.35">
      <c r="B302" s="116"/>
      <c r="C302" s="4">
        <f t="shared" si="29"/>
        <v>299</v>
      </c>
      <c r="D302" s="233" t="s">
        <v>2816</v>
      </c>
      <c r="F302" s="222" t="str">
        <f t="shared" ca="1" si="30"/>
        <v>70% der Stellplätze müssen mindestens 2,40m breit sein</v>
      </c>
      <c r="G302" s="116"/>
      <c r="H302" s="222" t="s">
        <v>1763</v>
      </c>
      <c r="I302" s="222" t="s">
        <v>3002</v>
      </c>
      <c r="J302" s="222" t="s">
        <v>3247</v>
      </c>
      <c r="K302" s="222" t="s">
        <v>5315</v>
      </c>
      <c r="L302" s="222" t="s">
        <v>3507</v>
      </c>
      <c r="M302" s="222" t="s">
        <v>3792</v>
      </c>
      <c r="N302" s="222" t="s">
        <v>4462</v>
      </c>
      <c r="O302" s="222" t="s">
        <v>4958</v>
      </c>
    </row>
    <row r="303" spans="2:15" ht="43.5" x14ac:dyDescent="0.35">
      <c r="B303" s="116"/>
      <c r="C303" s="4">
        <f t="shared" si="29"/>
        <v>300</v>
      </c>
      <c r="D303" s="233" t="s">
        <v>2817</v>
      </c>
      <c r="F303" s="222" t="str">
        <f t="shared" ca="1" si="30"/>
        <v>Durchschnittliche Ausleuchtung der Parkfläche beträgt mindestens 50 Lux</v>
      </c>
      <c r="G303" s="116"/>
      <c r="H303" s="222" t="s">
        <v>1769</v>
      </c>
      <c r="I303" s="222" t="s">
        <v>3003</v>
      </c>
      <c r="J303" s="222" t="s">
        <v>4067</v>
      </c>
      <c r="K303" s="222" t="s">
        <v>3395</v>
      </c>
      <c r="L303" s="222" t="s">
        <v>2103</v>
      </c>
      <c r="M303" s="222" t="s">
        <v>3793</v>
      </c>
      <c r="N303" s="222" t="s">
        <v>4463</v>
      </c>
      <c r="O303" s="222" t="s">
        <v>4959</v>
      </c>
    </row>
    <row r="304" spans="2:15"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sheetData>
  <sheetProtection formatRows="0" selectLockedCells="1"/>
  <dataConsolidate/>
  <phoneticPr fontId="24" type="noConversion"/>
  <pageMargins left="0.75" right="0.75" top="1" bottom="1" header="0.5" footer="0.5"/>
  <pageSetup paperSize="9"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L568"/>
  <sheetViews>
    <sheetView zoomScaleNormal="100" workbookViewId="0">
      <pane xSplit="2" ySplit="3" topLeftCell="F225" activePane="bottomRight" state="frozen"/>
      <selection activeCell="N153" sqref="N153"/>
      <selection pane="topRight" activeCell="N153" sqref="N153"/>
      <selection pane="bottomLeft" activeCell="N153" sqref="N153"/>
      <selection pane="bottomRight" activeCell="N153" sqref="N153"/>
    </sheetView>
  </sheetViews>
  <sheetFormatPr baseColWidth="10" defaultColWidth="10.81640625" defaultRowHeight="14.5" x14ac:dyDescent="0.35"/>
  <cols>
    <col min="1" max="1" width="9.453125" style="4" customWidth="1"/>
    <col min="2" max="2" width="51.81640625" style="4" customWidth="1"/>
    <col min="3" max="3" width="7.26953125" style="4" customWidth="1"/>
    <col min="4" max="9" width="63" style="4" customWidth="1"/>
    <col min="10" max="11" width="10.81640625" style="4"/>
    <col min="12" max="12" width="59.26953125" style="4" customWidth="1"/>
    <col min="13" max="16384" width="10.81640625" style="4"/>
  </cols>
  <sheetData>
    <row r="1" spans="1:12" ht="26.5" thickBot="1" x14ac:dyDescent="0.4">
      <c r="A1" s="112">
        <f>'Languages Available'!B1</f>
        <v>4</v>
      </c>
      <c r="B1" s="126" t="s">
        <v>1317</v>
      </c>
      <c r="C1" s="127"/>
      <c r="D1" s="111" t="str">
        <f>'General Info'!C4</f>
        <v>Deutsch</v>
      </c>
    </row>
    <row r="2" spans="1:12" x14ac:dyDescent="0.35">
      <c r="D2" s="4">
        <v>1</v>
      </c>
      <c r="E2" s="4">
        <v>2</v>
      </c>
      <c r="F2" s="4">
        <v>3</v>
      </c>
      <c r="G2" s="4">
        <v>4</v>
      </c>
      <c r="H2" s="4">
        <v>5</v>
      </c>
      <c r="I2" s="4">
        <v>6</v>
      </c>
    </row>
    <row r="3" spans="1:12" ht="21" x14ac:dyDescent="0.35">
      <c r="B3" s="114" t="s">
        <v>1316</v>
      </c>
      <c r="C3" s="113"/>
      <c r="D3" s="125" t="str">
        <f>VLOOKUP(D2,'Languages Available'!$A$3:$B$23,2)</f>
        <v>English</v>
      </c>
      <c r="E3" s="125" t="str">
        <f>VLOOKUP(E2,'Languages Available'!$A$3:$B$23,2)</f>
        <v>Dutch</v>
      </c>
      <c r="F3" s="125" t="str">
        <f>VLOOKUP(F2,'Languages Available'!$A$3:$B$23,2)</f>
        <v>Français</v>
      </c>
      <c r="G3" s="125" t="str">
        <f>VLOOKUP(G2,'Languages Available'!$A$3:$B$23,2)</f>
        <v>Deutsch</v>
      </c>
      <c r="H3" s="125" t="str">
        <f>VLOOKUP(H2,'Languages Available'!$A$3:$B$23,2)</f>
        <v>Portuguese</v>
      </c>
      <c r="I3" s="125" t="str">
        <f>VLOOKUP(I2,'Languages Available'!$A$3:$B$23,2)</f>
        <v>Turkish</v>
      </c>
    </row>
    <row r="4" spans="1:12" x14ac:dyDescent="0.35">
      <c r="A4" s="4">
        <f t="shared" ref="A4:A55" si="0">C4</f>
        <v>1</v>
      </c>
      <c r="B4" s="115" t="str">
        <f t="shared" ref="B4:B67" si="1">IF(ISBLANK(VLOOKUP(A4,$C$4:$V$9989,1+$A$1)),D4,VLOOKUP(A4,$C$4:$V$9989,1+$A$1))</f>
        <v>Erforderliche Mindestkriterien</v>
      </c>
      <c r="C4" s="4">
        <v>1</v>
      </c>
      <c r="D4" s="115" t="s">
        <v>114</v>
      </c>
      <c r="E4" s="115" t="s">
        <v>557</v>
      </c>
      <c r="F4" s="115" t="s">
        <v>904</v>
      </c>
      <c r="G4" s="574" t="s">
        <v>3297</v>
      </c>
      <c r="H4" s="115" t="s">
        <v>1830</v>
      </c>
      <c r="I4" s="115" t="s">
        <v>2089</v>
      </c>
      <c r="L4" s="115"/>
    </row>
    <row r="5" spans="1:12" x14ac:dyDescent="0.35">
      <c r="A5" s="4">
        <f t="shared" si="0"/>
        <v>2</v>
      </c>
      <c r="B5" s="116" t="str">
        <f t="shared" si="1"/>
        <v>Die Parkeinrichtung muss öffentlich sein.</v>
      </c>
      <c r="C5" s="4">
        <f>C4+1</f>
        <v>2</v>
      </c>
      <c r="D5" s="116" t="s">
        <v>2</v>
      </c>
      <c r="E5" s="116" t="s">
        <v>558</v>
      </c>
      <c r="F5" s="116" t="s">
        <v>911</v>
      </c>
      <c r="G5" s="574" t="s">
        <v>4022</v>
      </c>
      <c r="H5" s="116" t="s">
        <v>1831</v>
      </c>
      <c r="I5" s="116" t="s">
        <v>2090</v>
      </c>
      <c r="L5" s="116"/>
    </row>
    <row r="6" spans="1:12" ht="43.5" x14ac:dyDescent="0.35">
      <c r="A6" s="4">
        <f t="shared" si="0"/>
        <v>3</v>
      </c>
      <c r="B6" s="116" t="str">
        <f t="shared" si="1"/>
        <v>Mindestdurchfahrtshöhe = 1,90m im öffentlich zugänglichen Bereich. Einzelne niedrigere Stellen müssen deutlich gekennzeichnet sein.</v>
      </c>
      <c r="C6" s="4">
        <f t="shared" ref="C6:C72" si="2">C5+1</f>
        <v>3</v>
      </c>
      <c r="D6" s="116" t="s">
        <v>84</v>
      </c>
      <c r="E6" s="116" t="s">
        <v>559</v>
      </c>
      <c r="F6" s="116" t="s">
        <v>912</v>
      </c>
      <c r="G6" s="574" t="s">
        <v>4023</v>
      </c>
      <c r="H6" s="116" t="s">
        <v>1832</v>
      </c>
      <c r="I6" s="116" t="s">
        <v>2091</v>
      </c>
      <c r="L6" s="116"/>
    </row>
    <row r="7" spans="1:12" ht="43.5" x14ac:dyDescent="0.35">
      <c r="A7" s="4">
        <f t="shared" si="0"/>
        <v>4</v>
      </c>
      <c r="B7" s="116" t="str">
        <f t="shared" si="1"/>
        <v>Mindestdurchfahrtshöhe = 2,00 m im allgemein zugänglichen Bereich. Einzelne niedrigere Hindernisse müssen deutlich gekennzeichnet sein.</v>
      </c>
      <c r="C7" s="4">
        <f t="shared" si="2"/>
        <v>4</v>
      </c>
      <c r="D7" s="116" t="s">
        <v>1758</v>
      </c>
      <c r="E7" s="116" t="s">
        <v>1759</v>
      </c>
      <c r="F7" s="116" t="s">
        <v>1760</v>
      </c>
      <c r="G7" s="116" t="s">
        <v>1761</v>
      </c>
      <c r="H7" s="116" t="s">
        <v>1833</v>
      </c>
      <c r="I7" s="116" t="s">
        <v>2092</v>
      </c>
      <c r="L7" s="116"/>
    </row>
    <row r="8" spans="1:12" ht="43.5" x14ac:dyDescent="0.35">
      <c r="A8" s="4">
        <f t="shared" si="0"/>
        <v>5</v>
      </c>
      <c r="B8" s="116" t="str">
        <f t="shared" si="1"/>
        <v>Es muss mindestens eine getrennte Ein- und Ausfahrtsspur vorhanden sein. Zusätzliche, tageszeitlich in wechselnder Fahrtrichtung genutzte Wechselspuren sind zulässig.</v>
      </c>
      <c r="C8" s="4">
        <f t="shared" si="2"/>
        <v>5</v>
      </c>
      <c r="D8" s="116" t="s">
        <v>118</v>
      </c>
      <c r="E8" s="116" t="s">
        <v>1728</v>
      </c>
      <c r="F8" s="116" t="s">
        <v>913</v>
      </c>
      <c r="G8" s="574" t="s">
        <v>4024</v>
      </c>
      <c r="H8" s="116" t="s">
        <v>1834</v>
      </c>
      <c r="I8" s="165" t="s">
        <v>2093</v>
      </c>
      <c r="L8" s="116"/>
    </row>
    <row r="9" spans="1:12" ht="58" x14ac:dyDescent="0.35">
      <c r="A9" s="4">
        <f t="shared" si="0"/>
        <v>6</v>
      </c>
      <c r="B9" s="116" t="str">
        <f t="shared" si="1"/>
        <v>70% der Stellplätze müssen zumindest 2,30m breit sein. Für renovierte Betriebe, die über 10 Jahre alt sind, beträgt die Mindestbreite 2,25 m ( in diesem Fall kommt ein Punkteabzug zur Anwendung - siehe M8)</v>
      </c>
      <c r="C9" s="4">
        <f t="shared" si="2"/>
        <v>6</v>
      </c>
      <c r="D9" s="116" t="s">
        <v>1771</v>
      </c>
      <c r="E9" s="116" t="s">
        <v>560</v>
      </c>
      <c r="F9" s="116" t="s">
        <v>915</v>
      </c>
      <c r="G9" s="574" t="s">
        <v>4025</v>
      </c>
      <c r="H9" s="116" t="s">
        <v>1835</v>
      </c>
      <c r="I9" s="116" t="s">
        <v>2094</v>
      </c>
      <c r="L9" s="116"/>
    </row>
    <row r="10" spans="1:12" ht="29" x14ac:dyDescent="0.35">
      <c r="A10" s="4">
        <f t="shared" si="0"/>
        <v>7</v>
      </c>
      <c r="B10" s="116" t="str">
        <f t="shared" si="1"/>
        <v>70% der Stellplätze müssen mindestens 2,40 m breit sein.</v>
      </c>
      <c r="C10" s="4">
        <f t="shared" si="2"/>
        <v>7</v>
      </c>
      <c r="D10" s="116" t="s">
        <v>1763</v>
      </c>
      <c r="E10" s="116" t="s">
        <v>1764</v>
      </c>
      <c r="F10" s="116" t="s">
        <v>1765</v>
      </c>
      <c r="G10" s="116" t="s">
        <v>1766</v>
      </c>
      <c r="H10" s="116" t="s">
        <v>1836</v>
      </c>
      <c r="I10" s="116" t="s">
        <v>2095</v>
      </c>
      <c r="L10" s="116"/>
    </row>
    <row r="11" spans="1:12" ht="72.5" x14ac:dyDescent="0.35">
      <c r="A11" s="4">
        <f t="shared" si="0"/>
        <v>8</v>
      </c>
      <c r="B11" s="116" t="str">
        <f t="shared" si="1"/>
        <v>Alle geraden Rampen mit Einbahnverkehr müssen mindestens 2,70 m breit sein. Rampen mit Gegenverkehr müssen mindestens 6,00 m breit sein und eine Fahrbahnmarkierung aufweisen. Die Messung erfolgt zwischen den Wänden oder Säulen.</v>
      </c>
      <c r="C11" s="4">
        <f t="shared" si="2"/>
        <v>8</v>
      </c>
      <c r="D11" s="116" t="s">
        <v>86</v>
      </c>
      <c r="E11" s="116" t="s">
        <v>1729</v>
      </c>
      <c r="F11" s="116" t="s">
        <v>916</v>
      </c>
      <c r="G11" s="574" t="s">
        <v>4026</v>
      </c>
      <c r="H11" s="116" t="s">
        <v>1837</v>
      </c>
      <c r="I11" s="165" t="s">
        <v>2096</v>
      </c>
      <c r="L11" s="116"/>
    </row>
    <row r="12" spans="1:12" ht="87" x14ac:dyDescent="0.35">
      <c r="A12" s="4">
        <f t="shared" si="0"/>
        <v>9</v>
      </c>
      <c r="B12" s="116" t="str">
        <f t="shared" si="1"/>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c r="C12" s="4">
        <f t="shared" si="2"/>
        <v>9</v>
      </c>
      <c r="D12" s="116" t="s">
        <v>87</v>
      </c>
      <c r="E12" s="116" t="s">
        <v>561</v>
      </c>
      <c r="F12" s="116" t="s">
        <v>917</v>
      </c>
      <c r="G12" s="574" t="s">
        <v>4027</v>
      </c>
      <c r="H12" s="116" t="s">
        <v>1838</v>
      </c>
      <c r="I12" s="116" t="s">
        <v>2097</v>
      </c>
      <c r="L12" s="116"/>
    </row>
    <row r="13" spans="1:12" ht="43.5" x14ac:dyDescent="0.35">
      <c r="A13" s="4">
        <f t="shared" si="0"/>
        <v>10</v>
      </c>
      <c r="B13" s="116" t="str">
        <f t="shared" si="1"/>
        <v>Rampen dürfen eine Steigung von 20% nicht überschreiten. Die Messung erfolgt in der Mitte der Fahrspur. Bei gekrümmten Rampen mit Gegenverkehr gilt das für die innere (steilste) Spur.</v>
      </c>
      <c r="C13" s="4">
        <f t="shared" si="2"/>
        <v>10</v>
      </c>
      <c r="D13" s="116" t="s">
        <v>117</v>
      </c>
      <c r="E13" s="116" t="s">
        <v>562</v>
      </c>
      <c r="F13" s="116" t="s">
        <v>914</v>
      </c>
      <c r="G13" s="574" t="s">
        <v>4028</v>
      </c>
      <c r="H13" s="165" t="s">
        <v>1839</v>
      </c>
      <c r="I13" s="116" t="s">
        <v>2098</v>
      </c>
      <c r="L13" s="116"/>
    </row>
    <row r="14" spans="1:12" ht="58" x14ac:dyDescent="0.35">
      <c r="A14" s="4">
        <f t="shared" si="0"/>
        <v>11</v>
      </c>
      <c r="B14" s="116" t="str">
        <f t="shared" si="1"/>
        <v>Wenn der Parkbetrieb entgeltlich geführt wird und die Bewirtschaftung über Schrankensysteme oder Tore erfolgt, muss Personal an den Bezahl-, Ausfahrts- und Zugangspunkten erreichbar sein.</v>
      </c>
      <c r="C14" s="4">
        <f t="shared" si="2"/>
        <v>11</v>
      </c>
      <c r="D14" s="116" t="s">
        <v>85</v>
      </c>
      <c r="E14" s="116" t="s">
        <v>563</v>
      </c>
      <c r="F14" s="116" t="s">
        <v>918</v>
      </c>
      <c r="G14" s="574" t="s">
        <v>4029</v>
      </c>
      <c r="H14" s="116" t="s">
        <v>1840</v>
      </c>
      <c r="I14" s="165" t="s">
        <v>2099</v>
      </c>
      <c r="L14" s="116"/>
    </row>
    <row r="15" spans="1:12" ht="29" x14ac:dyDescent="0.35">
      <c r="A15" s="4">
        <f t="shared" si="0"/>
        <v>12</v>
      </c>
      <c r="B15" s="116" t="str">
        <f t="shared" si="1"/>
        <v>Eine Quittung muss (zumindest) auf Kundenanforderung ausgegeben werden.</v>
      </c>
      <c r="C15" s="4">
        <f t="shared" si="2"/>
        <v>12</v>
      </c>
      <c r="D15" s="116" t="s">
        <v>88</v>
      </c>
      <c r="E15" s="116" t="s">
        <v>564</v>
      </c>
      <c r="F15" s="116" t="s">
        <v>919</v>
      </c>
      <c r="G15" s="574" t="s">
        <v>3298</v>
      </c>
      <c r="H15" s="116" t="s">
        <v>1841</v>
      </c>
      <c r="I15" s="116" t="s">
        <v>2100</v>
      </c>
      <c r="L15" s="116"/>
    </row>
    <row r="16" spans="1:12" ht="43.5" x14ac:dyDescent="0.35">
      <c r="A16" s="4">
        <f t="shared" si="0"/>
        <v>13</v>
      </c>
      <c r="B16" s="116" t="str">
        <f t="shared" si="1"/>
        <v>Alle Fahrmanöver müssen ohne Zurücksetzen des Fahrzeugs möglich sein. Ausnahmen sind Ein- und Ausparkmanöver oder Sackgassen.</v>
      </c>
      <c r="C16" s="4">
        <f t="shared" si="2"/>
        <v>13</v>
      </c>
      <c r="D16" s="116" t="s">
        <v>119</v>
      </c>
      <c r="E16" s="116" t="s">
        <v>565</v>
      </c>
      <c r="F16" s="116" t="s">
        <v>920</v>
      </c>
      <c r="G16" s="574" t="s">
        <v>3299</v>
      </c>
      <c r="H16" s="116" t="s">
        <v>1842</v>
      </c>
      <c r="I16" s="165" t="s">
        <v>2101</v>
      </c>
      <c r="L16" s="116"/>
    </row>
    <row r="17" spans="1:12" ht="29" x14ac:dyDescent="0.35">
      <c r="A17" s="4">
        <f t="shared" si="0"/>
        <v>14</v>
      </c>
      <c r="B17" s="116" t="str">
        <f t="shared" si="1"/>
        <v>Die durchschnittliche Ausleuchtung der Parkfläche (am Boden gemessen) beträgt mind. 20 Lux.</v>
      </c>
      <c r="C17" s="4">
        <f t="shared" si="2"/>
        <v>14</v>
      </c>
      <c r="D17" s="116" t="s">
        <v>1768</v>
      </c>
      <c r="E17" s="116" t="s">
        <v>2533</v>
      </c>
      <c r="F17" s="116"/>
      <c r="G17" s="574" t="s">
        <v>4030</v>
      </c>
      <c r="H17" s="116" t="s">
        <v>1843</v>
      </c>
      <c r="I17" s="116" t="s">
        <v>2102</v>
      </c>
      <c r="L17" s="116"/>
    </row>
    <row r="18" spans="1:12" ht="29" x14ac:dyDescent="0.35">
      <c r="A18" s="4">
        <f t="shared" si="0"/>
        <v>15</v>
      </c>
      <c r="B18" s="116" t="str">
        <f t="shared" si="1"/>
        <v>Die durchschnittliche Ausleuchtung der Parkfläche (am Boden gemessen) beträgt mind. 50 Lux.</v>
      </c>
      <c r="C18" s="4">
        <f t="shared" si="2"/>
        <v>15</v>
      </c>
      <c r="D18" s="116" t="s">
        <v>1769</v>
      </c>
      <c r="E18" s="116" t="s">
        <v>2534</v>
      </c>
      <c r="F18" s="116"/>
      <c r="G18" s="574" t="s">
        <v>4053</v>
      </c>
      <c r="H18" s="116" t="s">
        <v>1844</v>
      </c>
      <c r="I18" s="116" t="s">
        <v>2103</v>
      </c>
      <c r="L18" s="116"/>
    </row>
    <row r="19" spans="1:12" x14ac:dyDescent="0.35">
      <c r="A19" s="4">
        <f t="shared" si="0"/>
        <v>16</v>
      </c>
      <c r="B19" s="116" t="str">
        <f t="shared" si="1"/>
        <v>Beleuchtung</v>
      </c>
      <c r="C19" s="4">
        <f t="shared" si="2"/>
        <v>16</v>
      </c>
      <c r="D19" s="116" t="s">
        <v>678</v>
      </c>
      <c r="E19" s="116" t="s">
        <v>566</v>
      </c>
      <c r="F19" s="116" t="s">
        <v>921</v>
      </c>
      <c r="G19" s="116" t="s">
        <v>1434</v>
      </c>
      <c r="H19" s="116" t="s">
        <v>1845</v>
      </c>
      <c r="I19" s="116" t="s">
        <v>2104</v>
      </c>
      <c r="L19" s="116"/>
    </row>
    <row r="20" spans="1:12" ht="29" x14ac:dyDescent="0.35">
      <c r="A20" s="4">
        <f t="shared" si="0"/>
        <v>17</v>
      </c>
      <c r="B20" s="116" t="str">
        <f t="shared" si="1"/>
        <v>Positionsliste (Werte in Lux, bezüglich der Messungen siehe Benutzungsanleitung)</v>
      </c>
      <c r="C20" s="4">
        <f t="shared" si="2"/>
        <v>17</v>
      </c>
      <c r="D20" s="116" t="s">
        <v>474</v>
      </c>
      <c r="E20" s="116" t="s">
        <v>567</v>
      </c>
      <c r="F20" s="116" t="s">
        <v>922</v>
      </c>
      <c r="G20" s="116" t="s">
        <v>1435</v>
      </c>
      <c r="H20" s="116" t="s">
        <v>1846</v>
      </c>
      <c r="I20" s="116" t="s">
        <v>2105</v>
      </c>
      <c r="L20" s="116"/>
    </row>
    <row r="21" spans="1:12" ht="58" x14ac:dyDescent="0.35">
      <c r="A21" s="4">
        <f t="shared" si="0"/>
        <v>18</v>
      </c>
      <c r="B21" s="116" t="str">
        <f t="shared" si="1"/>
        <v>Einfahrtsbereich; Messung am Boden
•  Über 200 Lux = 5;
•  Zwischen 75 - 200 Lux = 0,04 pt pro Lux über 75  
•  Unter 75 Lux = 0</v>
      </c>
      <c r="C21" s="4">
        <f t="shared" si="2"/>
        <v>18</v>
      </c>
      <c r="D21" s="116" t="s">
        <v>271</v>
      </c>
      <c r="E21" s="116" t="s">
        <v>674</v>
      </c>
      <c r="F21" s="116" t="s">
        <v>923</v>
      </c>
      <c r="G21" s="574" t="s">
        <v>4031</v>
      </c>
      <c r="H21" s="116" t="s">
        <v>1847</v>
      </c>
      <c r="I21" s="165" t="s">
        <v>2106</v>
      </c>
      <c r="L21" s="116"/>
    </row>
    <row r="22" spans="1:12" ht="72.5" x14ac:dyDescent="0.35">
      <c r="A22" s="4">
        <f t="shared" si="0"/>
        <v>19</v>
      </c>
      <c r="B22" s="116" t="str">
        <f t="shared" si="1"/>
        <v>Einfahrt; in 1 m Höhe neben dem Ticketgeber
•  Über 200 Lux = 3;
•  Zwischen 100 - 200 Lux = 0,03 pt pro Lux über 100
•  Unter 100 Lux = 0</v>
      </c>
      <c r="C22" s="4">
        <f t="shared" si="2"/>
        <v>19</v>
      </c>
      <c r="D22" s="116" t="s">
        <v>272</v>
      </c>
      <c r="E22" s="116" t="s">
        <v>675</v>
      </c>
      <c r="F22" s="116" t="s">
        <v>924</v>
      </c>
      <c r="G22" s="574" t="s">
        <v>4032</v>
      </c>
      <c r="H22" s="116" t="s">
        <v>1848</v>
      </c>
      <c r="I22" s="116" t="s">
        <v>2107</v>
      </c>
      <c r="L22" s="116"/>
    </row>
    <row r="23" spans="1:12" ht="72.5" x14ac:dyDescent="0.35">
      <c r="A23" s="4">
        <f t="shared" si="0"/>
        <v>20</v>
      </c>
      <c r="B23" s="116" t="str">
        <f t="shared" si="1"/>
        <v>Ausfahrt; in 1 m Höhe neben der Ausfahrtssäule
•  Über 200 Lux = 3;
•  Zwischen 100 - 200 Lux = 0,03 pt pro Lux über 100
•  Unter 100 Lux = 0</v>
      </c>
      <c r="C23" s="4">
        <f t="shared" si="2"/>
        <v>20</v>
      </c>
      <c r="D23" s="116" t="s">
        <v>273</v>
      </c>
      <c r="E23" s="116" t="s">
        <v>676</v>
      </c>
      <c r="F23" s="116" t="s">
        <v>925</v>
      </c>
      <c r="G23" s="574" t="s">
        <v>4033</v>
      </c>
      <c r="H23" s="116" t="s">
        <v>1849</v>
      </c>
      <c r="I23" s="116" t="s">
        <v>2108</v>
      </c>
      <c r="L23" s="116"/>
    </row>
    <row r="24" spans="1:12" ht="87" x14ac:dyDescent="0.35">
      <c r="A24" s="4">
        <f t="shared" si="0"/>
        <v>21</v>
      </c>
      <c r="B24" s="116" t="str">
        <f t="shared" si="1"/>
        <v>Am Bezahlautomaten; in 1 m Höhe
•  Über 200 Lux = 4;
•  Zwischen 100 - 200 Lux = 0,04 pt pro Lux über 100
•  Unter 100 Lux = 0;
•  Kein Bezahlautomat = wie Ausfahrt (in diesem Fall "0" eingeben)</v>
      </c>
      <c r="C24" s="4">
        <f t="shared" si="2"/>
        <v>21</v>
      </c>
      <c r="D24" s="116" t="s">
        <v>1773</v>
      </c>
      <c r="E24" s="116" t="s">
        <v>2539</v>
      </c>
      <c r="F24" s="116" t="s">
        <v>926</v>
      </c>
      <c r="G24" s="574" t="s">
        <v>4034</v>
      </c>
      <c r="H24" s="116" t="s">
        <v>1850</v>
      </c>
      <c r="I24" s="165" t="s">
        <v>2109</v>
      </c>
      <c r="L24" s="116"/>
    </row>
    <row r="25" spans="1:12" ht="72.5" x14ac:dyDescent="0.35">
      <c r="A25" s="4">
        <f t="shared" si="0"/>
        <v>22</v>
      </c>
      <c r="B25" s="116" t="str">
        <f t="shared" si="1"/>
        <v>An der Kasse; in Höhe des Kundenschalters
•  Über 200 Lux = 4;
•  Zwischen 100 - 200 Lux = 0,04 pt pro Lux über 100
•  Unter 100 Lux = 0;
•  Keine Kassenstation = 3  (in diesem Fall "0" eingeben)</v>
      </c>
      <c r="C25" s="4">
        <f t="shared" si="2"/>
        <v>22</v>
      </c>
      <c r="D25" s="116" t="s">
        <v>1774</v>
      </c>
      <c r="E25" s="116" t="s">
        <v>677</v>
      </c>
      <c r="F25" s="116" t="s">
        <v>927</v>
      </c>
      <c r="G25" s="574" t="s">
        <v>4035</v>
      </c>
      <c r="H25" s="116" t="s">
        <v>1851</v>
      </c>
      <c r="I25" s="116" t="s">
        <v>2110</v>
      </c>
      <c r="L25" s="116"/>
    </row>
    <row r="26" spans="1:12" ht="87" x14ac:dyDescent="0.35">
      <c r="A26" s="4">
        <f t="shared" si="0"/>
        <v>23</v>
      </c>
      <c r="B26" s="116" t="str">
        <f t="shared" si="1"/>
        <v>Im Aufzug; gesmessen am Boden
•  Über 70 Lux = 4;
•  Zwischen 30 - 70 Lux = 0,1 pt pro Lux über 30
•  Unter 30 Lux = 0;
•  Nur eine Parkebene ohne Aufzug = 3 (in diesem Fall "0" eingeben)</v>
      </c>
      <c r="C26" s="4">
        <f t="shared" si="2"/>
        <v>23</v>
      </c>
      <c r="D26" s="116" t="s">
        <v>1790</v>
      </c>
      <c r="E26" s="116" t="s">
        <v>2540</v>
      </c>
      <c r="F26" s="116" t="s">
        <v>928</v>
      </c>
      <c r="G26" s="574" t="s">
        <v>4036</v>
      </c>
      <c r="H26" s="116" t="s">
        <v>1852</v>
      </c>
      <c r="I26" s="116" t="s">
        <v>2111</v>
      </c>
      <c r="L26" s="116"/>
    </row>
    <row r="27" spans="1:12" ht="72.5" x14ac:dyDescent="0.35">
      <c r="A27" s="4">
        <f t="shared" si="0"/>
        <v>24</v>
      </c>
      <c r="B27" s="116" t="str">
        <f t="shared" si="1"/>
        <v>In Treppenhäusern und allen Fußgängerbereichen; gemessen am Boden
•  Über 90 Lux = 3;
•  Zwischen 30 - 90 Lux = 0,05 pt pro Lux über 30
•  Unter 30 Lux = 0;</v>
      </c>
      <c r="C27" s="4">
        <f t="shared" si="2"/>
        <v>24</v>
      </c>
      <c r="D27" s="116" t="s">
        <v>275</v>
      </c>
      <c r="E27" s="116" t="s">
        <v>1286</v>
      </c>
      <c r="F27" s="116" t="s">
        <v>929</v>
      </c>
      <c r="G27" s="574" t="s">
        <v>4037</v>
      </c>
      <c r="H27" s="116" t="s">
        <v>1853</v>
      </c>
      <c r="I27" s="116" t="s">
        <v>2112</v>
      </c>
      <c r="L27" s="116"/>
    </row>
    <row r="28" spans="1:12" ht="87" x14ac:dyDescent="0.35">
      <c r="A28" s="4">
        <f t="shared" si="0"/>
        <v>25</v>
      </c>
      <c r="B28" s="116" t="str">
        <f t="shared" si="1"/>
        <v>Ausleuchtung der Parkfläche; gemessen am Boden: (Bitte die Tabelle ausfüllen) 
Durchschnittliche Ausleuchtung des Bereichs:
•  Über 100 Lux= 10;
•  Zwischen 20– 100 Lux: 0,125 pt pro Lux über 20 
•  Unter 20 Lux= 0</v>
      </c>
      <c r="C28" s="4">
        <f t="shared" si="2"/>
        <v>25</v>
      </c>
      <c r="D28" s="116" t="s">
        <v>540</v>
      </c>
      <c r="E28" s="116" t="s">
        <v>2541</v>
      </c>
      <c r="F28" s="116" t="s">
        <v>930</v>
      </c>
      <c r="G28" s="574" t="s">
        <v>4038</v>
      </c>
      <c r="H28" s="116" t="s">
        <v>1854</v>
      </c>
      <c r="I28" s="165" t="s">
        <v>2113</v>
      </c>
      <c r="L28" s="116"/>
    </row>
    <row r="29" spans="1:12" ht="72.5" x14ac:dyDescent="0.35">
      <c r="A29" s="4">
        <f t="shared" si="0"/>
        <v>26</v>
      </c>
      <c r="B29" s="116" t="str">
        <f t="shared" si="1"/>
        <v>Gleichmäßigkeit der Ausleuchtung (Standardabweichung)
•  Unter 25% vom Durchschnitt = 10;
•  Zwischen 25 - 50% = 0,4 pt pro % unter 50%
•  Über 50% =  0</v>
      </c>
      <c r="C29" s="4">
        <f t="shared" si="2"/>
        <v>26</v>
      </c>
      <c r="D29" s="116" t="s">
        <v>679</v>
      </c>
      <c r="E29" s="116" t="s">
        <v>2561</v>
      </c>
      <c r="F29" s="116" t="s">
        <v>931</v>
      </c>
      <c r="G29" s="574" t="s">
        <v>4039</v>
      </c>
      <c r="H29" s="116" t="s">
        <v>1855</v>
      </c>
      <c r="I29" s="165" t="s">
        <v>2114</v>
      </c>
      <c r="L29" s="116"/>
    </row>
    <row r="30" spans="1:12" x14ac:dyDescent="0.35">
      <c r="A30" s="4">
        <f t="shared" si="0"/>
        <v>27</v>
      </c>
      <c r="B30" s="116" t="str">
        <f t="shared" si="1"/>
        <v>Hilfsbereich für 2.8</v>
      </c>
      <c r="C30" s="4">
        <f t="shared" si="2"/>
        <v>27</v>
      </c>
      <c r="D30" s="116" t="s">
        <v>122</v>
      </c>
      <c r="E30" s="116" t="s">
        <v>568</v>
      </c>
      <c r="F30" s="116" t="s">
        <v>932</v>
      </c>
      <c r="G30" s="574" t="s">
        <v>3300</v>
      </c>
      <c r="H30" s="116" t="s">
        <v>1856</v>
      </c>
      <c r="I30" s="116" t="s">
        <v>2115</v>
      </c>
      <c r="L30" s="116"/>
    </row>
    <row r="31" spans="1:12" x14ac:dyDescent="0.35">
      <c r="A31" s="4">
        <f t="shared" si="0"/>
        <v>28</v>
      </c>
      <c r="B31" s="116" t="str">
        <f t="shared" si="1"/>
        <v>Ende des Stellplatzes unter / zwischen Leuchtmittel</v>
      </c>
      <c r="C31" s="4">
        <f t="shared" si="2"/>
        <v>28</v>
      </c>
      <c r="D31" s="116" t="s">
        <v>113</v>
      </c>
      <c r="E31" s="116" t="s">
        <v>569</v>
      </c>
      <c r="F31" s="116" t="s">
        <v>933</v>
      </c>
      <c r="G31" s="574" t="s">
        <v>3301</v>
      </c>
      <c r="H31" s="116" t="s">
        <v>1857</v>
      </c>
      <c r="I31" s="116" t="s">
        <v>2116</v>
      </c>
      <c r="L31" s="116"/>
    </row>
    <row r="32" spans="1:12" ht="29" x14ac:dyDescent="0.35">
      <c r="A32" s="4">
        <f t="shared" si="0"/>
        <v>29</v>
      </c>
      <c r="B32" s="116" t="str">
        <f t="shared" si="1"/>
        <v>Mitte des Stellplatzes unter / zwischen Leuchtmittel</v>
      </c>
      <c r="C32" s="4">
        <f t="shared" si="2"/>
        <v>29</v>
      </c>
      <c r="D32" s="116" t="s">
        <v>109</v>
      </c>
      <c r="E32" s="116" t="s">
        <v>570</v>
      </c>
      <c r="F32" s="116" t="s">
        <v>934</v>
      </c>
      <c r="G32" s="574" t="s">
        <v>3302</v>
      </c>
      <c r="H32" s="116" t="s">
        <v>1858</v>
      </c>
      <c r="I32" s="116" t="s">
        <v>2117</v>
      </c>
      <c r="L32" s="116"/>
    </row>
    <row r="33" spans="1:12" ht="29" x14ac:dyDescent="0.35">
      <c r="A33" s="4">
        <f t="shared" si="0"/>
        <v>30</v>
      </c>
      <c r="B33" s="116" t="str">
        <f t="shared" si="1"/>
        <v>Fahrbahnrand unter / zwischen Leuchtmittel</v>
      </c>
      <c r="C33" s="4">
        <f t="shared" si="2"/>
        <v>30</v>
      </c>
      <c r="D33" s="116" t="s">
        <v>110</v>
      </c>
      <c r="E33" s="116" t="s">
        <v>571</v>
      </c>
      <c r="F33" s="116" t="s">
        <v>935</v>
      </c>
      <c r="G33" s="574" t="s">
        <v>4040</v>
      </c>
      <c r="H33" s="116" t="s">
        <v>1859</v>
      </c>
      <c r="I33" s="116" t="s">
        <v>2118</v>
      </c>
      <c r="L33" s="116"/>
    </row>
    <row r="34" spans="1:12" x14ac:dyDescent="0.35">
      <c r="A34" s="4">
        <f t="shared" si="0"/>
        <v>31</v>
      </c>
      <c r="B34" s="116" t="str">
        <f t="shared" si="1"/>
        <v>Fahrbahnmitte unter / zwischen Leuchtmittel</v>
      </c>
      <c r="C34" s="4">
        <f t="shared" si="2"/>
        <v>31</v>
      </c>
      <c r="D34" s="116" t="s">
        <v>111</v>
      </c>
      <c r="E34" s="116" t="s">
        <v>572</v>
      </c>
      <c r="F34" s="116" t="s">
        <v>936</v>
      </c>
      <c r="G34" s="574" t="s">
        <v>3303</v>
      </c>
      <c r="H34" s="116" t="s">
        <v>1860</v>
      </c>
      <c r="I34" s="116" t="s">
        <v>2119</v>
      </c>
      <c r="L34" s="116"/>
    </row>
    <row r="35" spans="1:12" ht="29" x14ac:dyDescent="0.35">
      <c r="A35" s="4">
        <f t="shared" si="0"/>
        <v>32</v>
      </c>
      <c r="B35" s="116" t="str">
        <f t="shared" si="1"/>
        <v>Gegenüberliegender Fahrbahnrand unter / zwischen Leuchtmittel</v>
      </c>
      <c r="C35" s="4">
        <f t="shared" si="2"/>
        <v>32</v>
      </c>
      <c r="D35" s="116" t="s">
        <v>112</v>
      </c>
      <c r="E35" s="116" t="s">
        <v>573</v>
      </c>
      <c r="F35" s="116" t="s">
        <v>937</v>
      </c>
      <c r="G35" s="574" t="s">
        <v>4041</v>
      </c>
      <c r="H35" s="116" t="s">
        <v>1861</v>
      </c>
      <c r="I35" s="116" t="s">
        <v>2120</v>
      </c>
      <c r="L35" s="116"/>
    </row>
    <row r="36" spans="1:12" x14ac:dyDescent="0.35">
      <c r="A36" s="4">
        <f t="shared" si="0"/>
        <v>33</v>
      </c>
      <c r="B36" s="116" t="str">
        <f t="shared" si="1"/>
        <v>Einfahrt / Ausfahrt</v>
      </c>
      <c r="C36" s="4">
        <f t="shared" si="2"/>
        <v>33</v>
      </c>
      <c r="D36" s="116" t="s">
        <v>128</v>
      </c>
      <c r="E36" s="116" t="s">
        <v>574</v>
      </c>
      <c r="F36" s="116" t="s">
        <v>938</v>
      </c>
      <c r="G36" s="116" t="s">
        <v>1442</v>
      </c>
      <c r="H36" s="116" t="s">
        <v>1862</v>
      </c>
      <c r="I36" s="116" t="s">
        <v>2325</v>
      </c>
      <c r="L36" s="116"/>
    </row>
    <row r="37" spans="1:12" x14ac:dyDescent="0.35">
      <c r="A37" s="4">
        <f t="shared" si="0"/>
        <v>34</v>
      </c>
      <c r="B37" s="116" t="str">
        <f t="shared" si="1"/>
        <v>Max. Durchfahrtshöhe ist an der Einfahrt angegeben</v>
      </c>
      <c r="C37" s="4">
        <f t="shared" si="2"/>
        <v>34</v>
      </c>
      <c r="D37" s="116" t="s">
        <v>1292</v>
      </c>
      <c r="E37" s="116" t="s">
        <v>575</v>
      </c>
      <c r="F37" s="116" t="s">
        <v>939</v>
      </c>
      <c r="G37" s="574" t="s">
        <v>4054</v>
      </c>
      <c r="H37" s="116" t="s">
        <v>1863</v>
      </c>
      <c r="I37" s="116" t="s">
        <v>2121</v>
      </c>
      <c r="L37" s="116"/>
    </row>
    <row r="38" spans="1:12" x14ac:dyDescent="0.35">
      <c r="A38" s="4">
        <f t="shared" si="0"/>
        <v>35</v>
      </c>
      <c r="B38" s="116" t="str">
        <f t="shared" si="1"/>
        <v>Korrekte Einfahrtsbeschilderung</v>
      </c>
      <c r="C38" s="4">
        <f t="shared" si="2"/>
        <v>35</v>
      </c>
      <c r="D38" s="116" t="s">
        <v>1291</v>
      </c>
      <c r="E38" s="116" t="s">
        <v>576</v>
      </c>
      <c r="F38" s="116" t="s">
        <v>940</v>
      </c>
      <c r="G38" s="574" t="s">
        <v>4055</v>
      </c>
      <c r="H38" s="116" t="s">
        <v>1864</v>
      </c>
      <c r="I38" s="116" t="s">
        <v>2122</v>
      </c>
      <c r="L38" s="116"/>
    </row>
    <row r="39" spans="1:12" x14ac:dyDescent="0.35">
      <c r="A39" s="4">
        <f t="shared" si="0"/>
        <v>36</v>
      </c>
      <c r="B39" s="116" t="str">
        <f t="shared" si="1"/>
        <v xml:space="preserve">Höhenkontrollbalken </v>
      </c>
      <c r="C39" s="4">
        <f t="shared" si="2"/>
        <v>36</v>
      </c>
      <c r="D39" s="116" t="s">
        <v>1290</v>
      </c>
      <c r="E39" s="116" t="s">
        <v>577</v>
      </c>
      <c r="F39" s="116" t="s">
        <v>941</v>
      </c>
      <c r="G39" s="574" t="s">
        <v>4056</v>
      </c>
      <c r="H39" s="116" t="s">
        <v>1865</v>
      </c>
      <c r="I39" s="116" t="s">
        <v>2123</v>
      </c>
      <c r="L39" s="116"/>
    </row>
    <row r="40" spans="1:12" x14ac:dyDescent="0.35">
      <c r="A40" s="4">
        <f t="shared" si="0"/>
        <v>37</v>
      </c>
      <c r="B40" s="116" t="str">
        <f t="shared" si="1"/>
        <v>Gummilippe , um Schaden zu verhindern (ja=1, nein=0)</v>
      </c>
      <c r="C40" s="4">
        <f t="shared" si="2"/>
        <v>37</v>
      </c>
      <c r="D40" s="116" t="s">
        <v>129</v>
      </c>
      <c r="E40" s="116" t="s">
        <v>578</v>
      </c>
      <c r="F40" s="116" t="s">
        <v>942</v>
      </c>
      <c r="G40" s="574" t="s">
        <v>3307</v>
      </c>
      <c r="H40" s="116" t="s">
        <v>1866</v>
      </c>
      <c r="I40" s="116" t="s">
        <v>2124</v>
      </c>
      <c r="L40" s="116"/>
    </row>
    <row r="41" spans="1:12" ht="43.5" x14ac:dyDescent="0.35">
      <c r="A41" s="4">
        <f t="shared" si="0"/>
        <v>38</v>
      </c>
      <c r="B41" s="116" t="str">
        <f t="shared" si="1"/>
        <v>Durchfahrtshöhe:
(ein zusätzlicher Punkt je 10 cm über 1,90 m bis 2,20 m)</v>
      </c>
      <c r="C41" s="4">
        <f t="shared" si="2"/>
        <v>38</v>
      </c>
      <c r="D41" s="116" t="s">
        <v>157</v>
      </c>
      <c r="E41" s="116" t="s">
        <v>579</v>
      </c>
      <c r="F41" s="116" t="s">
        <v>943</v>
      </c>
      <c r="G41" s="574" t="s">
        <v>4042</v>
      </c>
      <c r="H41" s="116" t="s">
        <v>1867</v>
      </c>
      <c r="I41" s="116" t="s">
        <v>2125</v>
      </c>
      <c r="L41" s="116"/>
    </row>
    <row r="42" spans="1:12" ht="58" x14ac:dyDescent="0.35">
      <c r="A42" s="4">
        <f t="shared" si="0"/>
        <v>39</v>
      </c>
      <c r="B42" s="116" t="str">
        <f t="shared" si="1"/>
        <v>Verkehrsleitsystem weist auf Benutzungseinschränkungen hin.
• klare Ausschilderung = 3
• teilweise Ausschilderung = 2
• keine Ausschilderung = 0</v>
      </c>
      <c r="C42" s="4">
        <f t="shared" si="2"/>
        <v>39</v>
      </c>
      <c r="D42" s="116" t="s">
        <v>680</v>
      </c>
      <c r="E42" s="116" t="s">
        <v>1287</v>
      </c>
      <c r="F42" s="116" t="s">
        <v>944</v>
      </c>
      <c r="G42" s="574" t="s">
        <v>3308</v>
      </c>
      <c r="H42" s="116" t="s">
        <v>1868</v>
      </c>
      <c r="I42" s="116" t="s">
        <v>2126</v>
      </c>
      <c r="L42" s="116"/>
    </row>
    <row r="43" spans="1:12" x14ac:dyDescent="0.35">
      <c r="A43" s="4">
        <f t="shared" si="0"/>
        <v>40</v>
      </c>
      <c r="B43" s="116" t="str">
        <f t="shared" si="1"/>
        <v>Informationen zu:</v>
      </c>
      <c r="C43" s="4">
        <f t="shared" si="2"/>
        <v>40</v>
      </c>
      <c r="D43" s="116" t="s">
        <v>1289</v>
      </c>
      <c r="E43" s="116" t="s">
        <v>580</v>
      </c>
      <c r="F43" s="116" t="s">
        <v>945</v>
      </c>
      <c r="G43" s="574" t="s">
        <v>3309</v>
      </c>
      <c r="H43" s="116" t="s">
        <v>1869</v>
      </c>
      <c r="I43" s="116" t="s">
        <v>2127</v>
      </c>
      <c r="L43" s="116"/>
    </row>
    <row r="44" spans="1:12" x14ac:dyDescent="0.35">
      <c r="A44" s="4">
        <f t="shared" si="0"/>
        <v>41</v>
      </c>
      <c r="B44" s="116" t="str">
        <f t="shared" si="1"/>
        <v>Nutzungs- und Einstellbedingungen des Betreibers</v>
      </c>
      <c r="C44" s="4">
        <f t="shared" si="2"/>
        <v>41</v>
      </c>
      <c r="D44" s="116" t="s">
        <v>133</v>
      </c>
      <c r="E44" s="116" t="s">
        <v>581</v>
      </c>
      <c r="F44" s="116" t="s">
        <v>946</v>
      </c>
      <c r="G44" s="574" t="s">
        <v>4043</v>
      </c>
      <c r="H44" s="116" t="s">
        <v>1870</v>
      </c>
      <c r="I44" s="116" t="s">
        <v>2128</v>
      </c>
      <c r="L44" s="116"/>
    </row>
    <row r="45" spans="1:12" x14ac:dyDescent="0.35">
      <c r="A45" s="4">
        <f t="shared" si="0"/>
        <v>42</v>
      </c>
      <c r="B45" s="116" t="str">
        <f t="shared" si="1"/>
        <v>Tägliche Öffnungszeiten</v>
      </c>
      <c r="C45" s="4">
        <f t="shared" si="2"/>
        <v>42</v>
      </c>
      <c r="D45" s="116" t="s">
        <v>132</v>
      </c>
      <c r="E45" s="116" t="s">
        <v>582</v>
      </c>
      <c r="F45" s="116" t="s">
        <v>947</v>
      </c>
      <c r="G45" s="574" t="s">
        <v>3310</v>
      </c>
      <c r="H45" s="116" t="s">
        <v>1871</v>
      </c>
      <c r="I45" s="116" t="s">
        <v>2129</v>
      </c>
      <c r="L45" s="116"/>
    </row>
    <row r="46" spans="1:12" x14ac:dyDescent="0.35">
      <c r="A46" s="4">
        <f t="shared" si="0"/>
        <v>43</v>
      </c>
      <c r="B46" s="116" t="str">
        <f t="shared" si="1"/>
        <v>Tarifauszeichnung</v>
      </c>
      <c r="C46" s="4">
        <f t="shared" si="2"/>
        <v>43</v>
      </c>
      <c r="D46" s="116" t="s">
        <v>134</v>
      </c>
      <c r="E46" s="116" t="s">
        <v>583</v>
      </c>
      <c r="F46" s="116" t="s">
        <v>948</v>
      </c>
      <c r="G46" s="574" t="s">
        <v>3311</v>
      </c>
      <c r="H46" s="116" t="s">
        <v>1872</v>
      </c>
      <c r="I46" s="116" t="s">
        <v>2130</v>
      </c>
      <c r="L46" s="116"/>
    </row>
    <row r="47" spans="1:12" x14ac:dyDescent="0.35">
      <c r="A47" s="4">
        <f t="shared" si="0"/>
        <v>44</v>
      </c>
      <c r="B47" s="116" t="str">
        <f t="shared" si="1"/>
        <v>Lesbarkeit der Tarifauszeichnung</v>
      </c>
      <c r="C47" s="4">
        <f t="shared" si="2"/>
        <v>44</v>
      </c>
      <c r="D47" s="116" t="s">
        <v>1288</v>
      </c>
      <c r="E47" s="116" t="s">
        <v>584</v>
      </c>
      <c r="F47" s="116" t="s">
        <v>949</v>
      </c>
      <c r="G47" s="574" t="s">
        <v>3312</v>
      </c>
      <c r="H47" s="116" t="s">
        <v>1873</v>
      </c>
      <c r="I47" s="116" t="s">
        <v>2131</v>
      </c>
      <c r="L47" s="116"/>
    </row>
    <row r="48" spans="1:12" x14ac:dyDescent="0.35">
      <c r="A48" s="4">
        <f t="shared" si="0"/>
        <v>45</v>
      </c>
      <c r="B48" s="116" t="str">
        <f t="shared" si="1"/>
        <v>Gestaltung des Ein-/Ausfahrtsbereiches</v>
      </c>
      <c r="C48" s="4">
        <f t="shared" si="2"/>
        <v>45</v>
      </c>
      <c r="D48" s="116" t="s">
        <v>135</v>
      </c>
      <c r="E48" s="116" t="s">
        <v>585</v>
      </c>
      <c r="F48" s="116" t="s">
        <v>950</v>
      </c>
      <c r="G48" s="574" t="s">
        <v>3313</v>
      </c>
      <c r="H48" s="116" t="s">
        <v>1874</v>
      </c>
      <c r="I48" s="116" t="s">
        <v>2132</v>
      </c>
      <c r="L48" s="116"/>
    </row>
    <row r="49" spans="1:12" x14ac:dyDescent="0.35">
      <c r="A49" s="4">
        <f t="shared" si="0"/>
        <v>46</v>
      </c>
      <c r="B49" s="116" t="str">
        <f t="shared" si="1"/>
        <v>Einfahrt: Gute Erreichbarkeit des Ticketgebers:</v>
      </c>
      <c r="C49" s="4">
        <f t="shared" si="2"/>
        <v>46</v>
      </c>
      <c r="D49" s="116" t="s">
        <v>136</v>
      </c>
      <c r="E49" s="116" t="s">
        <v>586</v>
      </c>
      <c r="F49" s="116" t="s">
        <v>951</v>
      </c>
      <c r="G49" s="574" t="s">
        <v>4044</v>
      </c>
      <c r="H49" s="116" t="s">
        <v>1875</v>
      </c>
      <c r="I49" s="116" t="s">
        <v>2133</v>
      </c>
      <c r="L49" s="116"/>
    </row>
    <row r="50" spans="1:12" x14ac:dyDescent="0.35">
      <c r="A50" s="4">
        <f t="shared" si="0"/>
        <v>47</v>
      </c>
      <c r="B50" s="116" t="str">
        <f t="shared" si="1"/>
        <v>Ausfahrt: Gute Erreichbarkeit des Ticketlesers:</v>
      </c>
      <c r="C50" s="4">
        <f t="shared" si="2"/>
        <v>47</v>
      </c>
      <c r="D50" s="116" t="s">
        <v>137</v>
      </c>
      <c r="E50" s="116" t="s">
        <v>587</v>
      </c>
      <c r="F50" s="116" t="s">
        <v>952</v>
      </c>
      <c r="G50" s="574" t="s">
        <v>4045</v>
      </c>
      <c r="H50" s="116" t="s">
        <v>1876</v>
      </c>
      <c r="I50" s="116" t="s">
        <v>2134</v>
      </c>
      <c r="L50" s="116"/>
    </row>
    <row r="51" spans="1:12" x14ac:dyDescent="0.35">
      <c r="A51" s="4">
        <f t="shared" si="0"/>
        <v>48</v>
      </c>
      <c r="B51" s="116" t="str">
        <f t="shared" si="1"/>
        <v>Längsneigung bei den Ein- / Ausfahrtsterminals</v>
      </c>
      <c r="C51" s="4">
        <f t="shared" si="2"/>
        <v>48</v>
      </c>
      <c r="D51" s="116" t="s">
        <v>138</v>
      </c>
      <c r="E51" s="116" t="s">
        <v>588</v>
      </c>
      <c r="F51" s="116" t="s">
        <v>953</v>
      </c>
      <c r="G51" s="574" t="s">
        <v>4046</v>
      </c>
      <c r="H51" s="116" t="s">
        <v>1877</v>
      </c>
      <c r="I51" s="116" t="s">
        <v>2135</v>
      </c>
      <c r="L51" s="116"/>
    </row>
    <row r="52" spans="1:12" ht="58" x14ac:dyDescent="0.35">
      <c r="A52" s="4">
        <f t="shared" si="0"/>
        <v>49</v>
      </c>
      <c r="B52" s="116" t="str">
        <f t="shared" si="1"/>
        <v>Einfahrt:
• 0 - 2% (Fahrzeug bewegt sich ungebremst nicht) = 1
• 2 - 5% = 0
• Über 5% = -1</v>
      </c>
      <c r="C52" s="4">
        <f t="shared" si="2"/>
        <v>49</v>
      </c>
      <c r="D52" s="116" t="s">
        <v>682</v>
      </c>
      <c r="E52" s="116" t="s">
        <v>681</v>
      </c>
      <c r="F52" s="116" t="s">
        <v>954</v>
      </c>
      <c r="G52" s="574" t="s">
        <v>4047</v>
      </c>
      <c r="H52" s="116" t="s">
        <v>1878</v>
      </c>
      <c r="I52" s="116" t="s">
        <v>2136</v>
      </c>
      <c r="L52" s="116"/>
    </row>
    <row r="53" spans="1:12" ht="58" x14ac:dyDescent="0.35">
      <c r="A53" s="4">
        <f t="shared" si="0"/>
        <v>50</v>
      </c>
      <c r="B53" s="116" t="str">
        <f t="shared" si="1"/>
        <v>Ausfahrt:
• 0 - 2% (Fahrzeug bewegt sich ungebremst nicht) = 1
• 2 - 5% = 0
• Über 5% = -1</v>
      </c>
      <c r="C53" s="4">
        <f t="shared" si="2"/>
        <v>50</v>
      </c>
      <c r="D53" s="116" t="s">
        <v>684</v>
      </c>
      <c r="E53" s="116" t="s">
        <v>683</v>
      </c>
      <c r="F53" s="116" t="s">
        <v>955</v>
      </c>
      <c r="G53" s="574" t="s">
        <v>4048</v>
      </c>
      <c r="H53" s="116" t="s">
        <v>1879</v>
      </c>
      <c r="I53" s="116" t="s">
        <v>2137</v>
      </c>
      <c r="L53" s="116"/>
    </row>
    <row r="54" spans="1:12" ht="43.5" x14ac:dyDescent="0.35">
      <c r="A54" s="4">
        <f t="shared" si="0"/>
        <v>51</v>
      </c>
      <c r="B54" s="116" t="str">
        <f t="shared" si="1"/>
        <v>Design der Schrammborde, um Schaden an den Fahrzeugrädern zu verhindern:
(Ja = 2, kein Schutz = 0, keine Schrammborde in Ein-/Ausfahrt = 2)</v>
      </c>
      <c r="C54" s="4">
        <f t="shared" si="2"/>
        <v>51</v>
      </c>
      <c r="D54" s="116" t="s">
        <v>483</v>
      </c>
      <c r="E54" s="116" t="s">
        <v>589</v>
      </c>
      <c r="F54" s="116" t="s">
        <v>956</v>
      </c>
      <c r="G54" s="574" t="s">
        <v>4049</v>
      </c>
      <c r="H54" s="116" t="s">
        <v>1880</v>
      </c>
      <c r="I54" s="116" t="s">
        <v>2138</v>
      </c>
      <c r="L54" s="116"/>
    </row>
    <row r="55" spans="1:12" ht="29" x14ac:dyDescent="0.35">
      <c r="A55" s="4">
        <f t="shared" si="0"/>
        <v>52</v>
      </c>
      <c r="B55" s="116" t="str">
        <f t="shared" si="1"/>
        <v>Rutschfeste Oberfläche in der Ein- und Ausfahrt: (vorhanden = 1, Rutschgefahr bei Nässe= 0)</v>
      </c>
      <c r="C55" s="4">
        <f t="shared" si="2"/>
        <v>52</v>
      </c>
      <c r="D55" s="116" t="s">
        <v>222</v>
      </c>
      <c r="E55" s="116" t="s">
        <v>1293</v>
      </c>
      <c r="F55" s="116" t="s">
        <v>957</v>
      </c>
      <c r="G55" s="574" t="s">
        <v>4050</v>
      </c>
      <c r="H55" s="116" t="s">
        <v>1881</v>
      </c>
      <c r="I55" s="116" t="s">
        <v>2139</v>
      </c>
      <c r="L55" s="116"/>
    </row>
    <row r="56" spans="1:12" x14ac:dyDescent="0.35">
      <c r="A56" s="4">
        <f t="shared" ref="A56:A119" si="3">C56</f>
        <v>53</v>
      </c>
      <c r="B56" s="116" t="str">
        <f t="shared" si="1"/>
        <v>Zufahrtskontrolle</v>
      </c>
      <c r="C56" s="4">
        <f t="shared" si="2"/>
        <v>53</v>
      </c>
      <c r="D56" s="116" t="s">
        <v>139</v>
      </c>
      <c r="E56" s="116" t="s">
        <v>590</v>
      </c>
      <c r="F56" s="116" t="s">
        <v>958</v>
      </c>
      <c r="G56" s="574" t="s">
        <v>4051</v>
      </c>
      <c r="H56" s="116" t="s">
        <v>1882</v>
      </c>
      <c r="I56" s="116" t="s">
        <v>2140</v>
      </c>
      <c r="L56" s="116"/>
    </row>
    <row r="57" spans="1:12" x14ac:dyDescent="0.35">
      <c r="A57" s="4">
        <f t="shared" si="3"/>
        <v>54</v>
      </c>
      <c r="B57" s="116" t="str">
        <f t="shared" si="1"/>
        <v>Schranken</v>
      </c>
      <c r="C57" s="4">
        <f t="shared" si="2"/>
        <v>54</v>
      </c>
      <c r="D57" s="116" t="s">
        <v>140</v>
      </c>
      <c r="E57" s="116" t="s">
        <v>591</v>
      </c>
      <c r="F57" s="116" t="s">
        <v>959</v>
      </c>
      <c r="G57" s="574" t="s">
        <v>3314</v>
      </c>
      <c r="H57" s="116" t="s">
        <v>1883</v>
      </c>
      <c r="I57" s="116" t="s">
        <v>2141</v>
      </c>
      <c r="L57" s="116"/>
    </row>
    <row r="58" spans="1:12" x14ac:dyDescent="0.35">
      <c r="A58" s="4">
        <f t="shared" si="3"/>
        <v>55</v>
      </c>
      <c r="B58" s="116" t="str">
        <f t="shared" si="1"/>
        <v>Sprechstelle</v>
      </c>
      <c r="C58" s="4">
        <f t="shared" si="2"/>
        <v>55</v>
      </c>
      <c r="D58" s="116" t="s">
        <v>141</v>
      </c>
      <c r="E58" s="116" t="s">
        <v>1714</v>
      </c>
      <c r="F58" s="116" t="s">
        <v>960</v>
      </c>
      <c r="G58" s="574" t="s">
        <v>1458</v>
      </c>
      <c r="H58" s="116" t="s">
        <v>1884</v>
      </c>
      <c r="I58" s="116" t="s">
        <v>2142</v>
      </c>
      <c r="L58" s="116"/>
    </row>
    <row r="59" spans="1:12" x14ac:dyDescent="0.35">
      <c r="A59" s="4">
        <f t="shared" si="3"/>
        <v>56</v>
      </c>
      <c r="B59" s="116" t="str">
        <f t="shared" si="1"/>
        <v>Videoüberwachung</v>
      </c>
      <c r="C59" s="4">
        <f t="shared" si="2"/>
        <v>56</v>
      </c>
      <c r="D59" s="116" t="s">
        <v>142</v>
      </c>
      <c r="E59" s="116" t="s">
        <v>1715</v>
      </c>
      <c r="F59" s="116" t="s">
        <v>961</v>
      </c>
      <c r="G59" s="574" t="s">
        <v>1459</v>
      </c>
      <c r="H59" s="116" t="s">
        <v>142</v>
      </c>
      <c r="I59" s="116" t="s">
        <v>142</v>
      </c>
      <c r="L59" s="116"/>
    </row>
    <row r="60" spans="1:12" x14ac:dyDescent="0.35">
      <c r="A60" s="4">
        <f t="shared" si="3"/>
        <v>57</v>
      </c>
      <c r="B60" s="116" t="str">
        <f t="shared" si="1"/>
        <v>Kennzeichenerkennung</v>
      </c>
      <c r="C60" s="4">
        <f t="shared" si="2"/>
        <v>57</v>
      </c>
      <c r="D60" s="116" t="s">
        <v>143</v>
      </c>
      <c r="E60" s="116" t="s">
        <v>592</v>
      </c>
      <c r="F60" s="116" t="s">
        <v>962</v>
      </c>
      <c r="G60" s="574" t="s">
        <v>1460</v>
      </c>
      <c r="H60" s="116" t="s">
        <v>1885</v>
      </c>
      <c r="I60" s="116" t="s">
        <v>2143</v>
      </c>
      <c r="L60" s="116"/>
    </row>
    <row r="61" spans="1:12" x14ac:dyDescent="0.35">
      <c r="A61" s="4">
        <f t="shared" si="3"/>
        <v>58</v>
      </c>
      <c r="B61" s="116" t="str">
        <f t="shared" si="1"/>
        <v>Schnelllauftore</v>
      </c>
      <c r="C61" s="4">
        <f t="shared" si="2"/>
        <v>58</v>
      </c>
      <c r="D61" s="116" t="s">
        <v>144</v>
      </c>
      <c r="E61" s="116" t="s">
        <v>593</v>
      </c>
      <c r="F61" s="116" t="s">
        <v>963</v>
      </c>
      <c r="G61" s="574" t="s">
        <v>3315</v>
      </c>
      <c r="H61" s="116" t="s">
        <v>1886</v>
      </c>
      <c r="I61" s="116" t="s">
        <v>2144</v>
      </c>
      <c r="L61" s="116"/>
    </row>
    <row r="62" spans="1:12" x14ac:dyDescent="0.35">
      <c r="A62" s="4">
        <f t="shared" si="3"/>
        <v>59</v>
      </c>
      <c r="B62" s="116" t="str">
        <f t="shared" si="1"/>
        <v>Personal vor Ort (Ein- oder Ausfahrt)</v>
      </c>
      <c r="C62" s="4">
        <f t="shared" si="2"/>
        <v>59</v>
      </c>
      <c r="D62" s="116" t="s">
        <v>145</v>
      </c>
      <c r="E62" s="116" t="s">
        <v>594</v>
      </c>
      <c r="F62" s="116" t="s">
        <v>964</v>
      </c>
      <c r="G62" s="574" t="s">
        <v>3316</v>
      </c>
      <c r="H62" s="116" t="s">
        <v>1887</v>
      </c>
      <c r="I62" s="166" t="s">
        <v>2145</v>
      </c>
      <c r="L62" s="116"/>
    </row>
    <row r="63" spans="1:12" ht="43.5" x14ac:dyDescent="0.35">
      <c r="A63" s="4">
        <f t="shared" si="3"/>
        <v>60</v>
      </c>
      <c r="B63" s="116" t="str">
        <f t="shared" si="1"/>
        <v>Ein- / Ausfahrtsbreiten: Durchfahrtsbreite zwischen Bauteilen/Schrammborden pro Spur (&lt; 3 m = 0; 3 - 3,30 m = 1; &gt; 3,30 m = 2)</v>
      </c>
      <c r="C63" s="4">
        <f t="shared" si="2"/>
        <v>60</v>
      </c>
      <c r="D63" s="116" t="s">
        <v>484</v>
      </c>
      <c r="E63" s="116" t="s">
        <v>2542</v>
      </c>
      <c r="F63" s="116" t="s">
        <v>965</v>
      </c>
      <c r="G63" s="574" t="s">
        <v>4052</v>
      </c>
      <c r="H63" s="116" t="s">
        <v>1888</v>
      </c>
      <c r="I63" s="116" t="s">
        <v>2146</v>
      </c>
      <c r="L63" s="116"/>
    </row>
    <row r="64" spans="1:12" ht="29" x14ac:dyDescent="0.35">
      <c r="A64" s="4">
        <f t="shared" si="3"/>
        <v>61</v>
      </c>
      <c r="B64" s="116" t="str">
        <f t="shared" si="1"/>
        <v>Ausfahrt: Ausfahrtsspur endet mindestens 5 m vor Querverkehr (Fußgänger, Radfahrer):</v>
      </c>
      <c r="C64" s="4">
        <f t="shared" si="2"/>
        <v>61</v>
      </c>
      <c r="D64" s="116" t="s">
        <v>146</v>
      </c>
      <c r="E64" s="116" t="s">
        <v>2543</v>
      </c>
      <c r="F64" s="116" t="s">
        <v>966</v>
      </c>
      <c r="G64" s="574" t="s">
        <v>3318</v>
      </c>
      <c r="H64" s="116" t="s">
        <v>1889</v>
      </c>
      <c r="I64" s="116" t="s">
        <v>2147</v>
      </c>
      <c r="L64" s="116"/>
    </row>
    <row r="65" spans="1:12" x14ac:dyDescent="0.35">
      <c r="A65" s="4">
        <f t="shared" si="3"/>
        <v>62</v>
      </c>
      <c r="B65" s="116" t="str">
        <f t="shared" si="1"/>
        <v>subtotal  car entry/exit</v>
      </c>
      <c r="C65" s="4">
        <f t="shared" si="2"/>
        <v>62</v>
      </c>
      <c r="D65" s="116" t="s">
        <v>5</v>
      </c>
      <c r="E65" s="116" t="s">
        <v>595</v>
      </c>
      <c r="F65" s="116" t="s">
        <v>967</v>
      </c>
      <c r="H65" s="116" t="s">
        <v>1890</v>
      </c>
      <c r="I65" s="116" t="s">
        <v>2148</v>
      </c>
      <c r="L65" s="116"/>
    </row>
    <row r="66" spans="1:12" x14ac:dyDescent="0.35">
      <c r="A66" s="4">
        <f t="shared" si="3"/>
        <v>63</v>
      </c>
      <c r="B66" s="116" t="str">
        <f t="shared" si="1"/>
        <v>Parkebenen</v>
      </c>
      <c r="C66" s="4">
        <f t="shared" si="2"/>
        <v>63</v>
      </c>
      <c r="D66" s="116" t="s">
        <v>147</v>
      </c>
      <c r="E66" s="116" t="s">
        <v>2544</v>
      </c>
      <c r="F66" s="116" t="s">
        <v>968</v>
      </c>
      <c r="G66" s="116" t="s">
        <v>1465</v>
      </c>
      <c r="H66" s="116" t="s">
        <v>1891</v>
      </c>
      <c r="I66" s="116" t="s">
        <v>2149</v>
      </c>
      <c r="L66" s="116"/>
    </row>
    <row r="67" spans="1:12" ht="72.5" x14ac:dyDescent="0.35">
      <c r="A67" s="4">
        <f t="shared" si="3"/>
        <v>64</v>
      </c>
      <c r="B67" s="116" t="str">
        <f t="shared" si="1"/>
        <v>Stützen im Bereich von mindestens 85 % der Stellplätze:
(keine Beeinträchtigung des Stellplätze = 8, am Beginn der Stellplätze = 0, nahe der Fahrzeugtür = 0, am Ende aber mit Beeinträchtigung des Stellplatzes = 4)</v>
      </c>
      <c r="C67" s="4">
        <f t="shared" si="2"/>
        <v>64</v>
      </c>
      <c r="D67" s="116" t="s">
        <v>686</v>
      </c>
      <c r="E67" s="116" t="s">
        <v>685</v>
      </c>
      <c r="F67" s="116" t="s">
        <v>969</v>
      </c>
      <c r="G67" s="116" t="s">
        <v>1629</v>
      </c>
      <c r="H67" s="116" t="s">
        <v>1892</v>
      </c>
      <c r="I67" s="116" t="s">
        <v>2150</v>
      </c>
      <c r="L67" s="116"/>
    </row>
    <row r="68" spans="1:12" ht="43.5" x14ac:dyDescent="0.35">
      <c r="A68" s="4">
        <f t="shared" si="3"/>
        <v>65</v>
      </c>
      <c r="B68" s="116" t="str">
        <f t="shared" ref="B68:B131" si="4">IF(ISBLANK(VLOOKUP(A68,$C$4:$V$9989,1+$A$1)),D68,VLOOKUP(A68,$C$4:$V$9989,1+$A$1))</f>
        <v>Übersichtlichkeit (viele/wenige tote Winkel, Wände in der Parkebene,etc.)
gut=4, mittel=2, schlecht=0</v>
      </c>
      <c r="C68" s="4">
        <f t="shared" si="2"/>
        <v>65</v>
      </c>
      <c r="D68" s="116" t="s">
        <v>232</v>
      </c>
      <c r="E68" s="116" t="s">
        <v>687</v>
      </c>
      <c r="F68" s="116" t="s">
        <v>970</v>
      </c>
      <c r="G68" s="116" t="s">
        <v>1630</v>
      </c>
      <c r="H68" s="116" t="s">
        <v>1893</v>
      </c>
      <c r="I68" s="116" t="s">
        <v>2151</v>
      </c>
      <c r="L68" s="116"/>
    </row>
    <row r="69" spans="1:12" x14ac:dyDescent="0.35">
      <c r="A69" s="4">
        <f t="shared" si="3"/>
        <v>66</v>
      </c>
      <c r="B69" s="116" t="str">
        <f t="shared" si="4"/>
        <v>Beschilderung für den Fahrverkehr</v>
      </c>
      <c r="C69" s="4">
        <f t="shared" si="2"/>
        <v>66</v>
      </c>
      <c r="D69" s="116" t="s">
        <v>1294</v>
      </c>
      <c r="E69" s="116" t="s">
        <v>596</v>
      </c>
      <c r="F69" s="116" t="s">
        <v>971</v>
      </c>
      <c r="G69" s="116" t="s">
        <v>1466</v>
      </c>
      <c r="H69" s="116" t="s">
        <v>1894</v>
      </c>
      <c r="I69" s="116" t="s">
        <v>2152</v>
      </c>
      <c r="L69" s="116"/>
    </row>
    <row r="70" spans="1:12" ht="29" x14ac:dyDescent="0.35">
      <c r="A70" s="4">
        <f t="shared" si="3"/>
        <v>67</v>
      </c>
      <c r="B70" s="116" t="str">
        <f t="shared" si="4"/>
        <v>Sind die Verkehrszeichen konform mit den nationalen Vorschriften?</v>
      </c>
      <c r="C70" s="4">
        <f t="shared" si="2"/>
        <v>67</v>
      </c>
      <c r="D70" s="116" t="s">
        <v>1295</v>
      </c>
      <c r="E70" s="116" t="s">
        <v>597</v>
      </c>
      <c r="F70" s="116" t="s">
        <v>972</v>
      </c>
      <c r="G70" s="116" t="s">
        <v>1467</v>
      </c>
      <c r="H70" s="116" t="s">
        <v>1895</v>
      </c>
      <c r="I70" s="116" t="s">
        <v>2153</v>
      </c>
      <c r="L70" s="116"/>
    </row>
    <row r="71" spans="1:12" ht="29" x14ac:dyDescent="0.35">
      <c r="A71" s="4">
        <f t="shared" si="3"/>
        <v>68</v>
      </c>
      <c r="B71" s="116" t="str">
        <f t="shared" si="4"/>
        <v>Wegweisung: Ist die Beschilderung leicht sichtbar, vollständig und unmissverständlich?</v>
      </c>
      <c r="C71" s="4">
        <f t="shared" si="2"/>
        <v>68</v>
      </c>
      <c r="D71" s="116" t="s">
        <v>152</v>
      </c>
      <c r="E71" s="116" t="s">
        <v>598</v>
      </c>
      <c r="F71" s="116" t="s">
        <v>973</v>
      </c>
      <c r="G71" s="116" t="s">
        <v>1468</v>
      </c>
      <c r="H71" s="116" t="s">
        <v>1896</v>
      </c>
      <c r="I71" s="116" t="s">
        <v>2154</v>
      </c>
      <c r="L71" s="116"/>
    </row>
    <row r="72" spans="1:12" x14ac:dyDescent="0.35">
      <c r="A72" s="4">
        <f t="shared" si="3"/>
        <v>69</v>
      </c>
      <c r="B72" s="116" t="str">
        <f t="shared" si="4"/>
        <v>Vollständig?</v>
      </c>
      <c r="C72" s="4">
        <f t="shared" si="2"/>
        <v>69</v>
      </c>
      <c r="D72" s="116" t="s">
        <v>1296</v>
      </c>
      <c r="E72" s="116" t="s">
        <v>599</v>
      </c>
      <c r="F72" s="116" t="s">
        <v>974</v>
      </c>
      <c r="G72" s="116" t="s">
        <v>1469</v>
      </c>
      <c r="H72" s="116" t="s">
        <v>1897</v>
      </c>
      <c r="I72" s="116" t="s">
        <v>2155</v>
      </c>
      <c r="L72" s="116"/>
    </row>
    <row r="73" spans="1:12" x14ac:dyDescent="0.35">
      <c r="A73" s="4">
        <f t="shared" si="3"/>
        <v>70</v>
      </c>
      <c r="B73" s="116" t="str">
        <f t="shared" si="4"/>
        <v>Leicht zu sehen?</v>
      </c>
      <c r="C73" s="4">
        <f t="shared" ref="C73:C136" si="5">C72+1</f>
        <v>70</v>
      </c>
      <c r="D73" s="116" t="s">
        <v>154</v>
      </c>
      <c r="E73" s="116" t="s">
        <v>600</v>
      </c>
      <c r="F73" s="116" t="s">
        <v>975</v>
      </c>
      <c r="G73" s="116" t="s">
        <v>1470</v>
      </c>
      <c r="H73" s="116" t="s">
        <v>1898</v>
      </c>
      <c r="I73" s="116" t="s">
        <v>2156</v>
      </c>
      <c r="L73" s="116"/>
    </row>
    <row r="74" spans="1:12" x14ac:dyDescent="0.35">
      <c r="A74" s="4">
        <f t="shared" si="3"/>
        <v>71</v>
      </c>
      <c r="B74" s="116" t="str">
        <f t="shared" si="4"/>
        <v>Unmissverständlich?</v>
      </c>
      <c r="C74" s="4">
        <f t="shared" si="5"/>
        <v>71</v>
      </c>
      <c r="D74" s="116" t="s">
        <v>1297</v>
      </c>
      <c r="E74" s="116" t="s">
        <v>601</v>
      </c>
      <c r="F74" s="116" t="s">
        <v>976</v>
      </c>
      <c r="G74" s="116" t="s">
        <v>1471</v>
      </c>
      <c r="H74" s="116" t="s">
        <v>1899</v>
      </c>
      <c r="I74" s="116" t="s">
        <v>2157</v>
      </c>
      <c r="L74" s="116"/>
    </row>
    <row r="75" spans="1:12" ht="29" x14ac:dyDescent="0.35">
      <c r="A75" s="4">
        <f t="shared" si="3"/>
        <v>72</v>
      </c>
      <c r="B75" s="116" t="str">
        <f t="shared" si="4"/>
        <v>Ausfahrtsbeschilderung: Ist die Beschilderung leicht sichtbar, vollständig und unmissverständlich?</v>
      </c>
      <c r="C75" s="4">
        <f t="shared" si="5"/>
        <v>72</v>
      </c>
      <c r="D75" s="116" t="s">
        <v>153</v>
      </c>
      <c r="E75" s="116" t="s">
        <v>602</v>
      </c>
      <c r="F75" s="116" t="s">
        <v>977</v>
      </c>
      <c r="G75" s="116" t="s">
        <v>1472</v>
      </c>
      <c r="H75" s="116" t="s">
        <v>1900</v>
      </c>
      <c r="I75" s="116" t="s">
        <v>2158</v>
      </c>
      <c r="L75" s="116"/>
    </row>
    <row r="76" spans="1:12" x14ac:dyDescent="0.35">
      <c r="A76" s="4">
        <f t="shared" si="3"/>
        <v>73</v>
      </c>
      <c r="B76" s="116" t="str">
        <f t="shared" si="4"/>
        <v>Vollständig?</v>
      </c>
      <c r="C76" s="4">
        <f t="shared" si="5"/>
        <v>73</v>
      </c>
      <c r="D76" s="116" t="s">
        <v>1296</v>
      </c>
      <c r="E76" s="116" t="s">
        <v>599</v>
      </c>
      <c r="F76" s="116" t="s">
        <v>974</v>
      </c>
      <c r="G76" s="116" t="s">
        <v>1469</v>
      </c>
      <c r="H76" s="116" t="s">
        <v>1897</v>
      </c>
      <c r="I76" s="116" t="s">
        <v>2155</v>
      </c>
      <c r="L76" s="116"/>
    </row>
    <row r="77" spans="1:12" x14ac:dyDescent="0.35">
      <c r="A77" s="4">
        <f t="shared" si="3"/>
        <v>74</v>
      </c>
      <c r="B77" s="116" t="str">
        <f t="shared" si="4"/>
        <v>Leicht zu sehen?</v>
      </c>
      <c r="C77" s="4">
        <f t="shared" si="5"/>
        <v>74</v>
      </c>
      <c r="D77" s="116" t="s">
        <v>154</v>
      </c>
      <c r="E77" s="116" t="s">
        <v>600</v>
      </c>
      <c r="F77" s="116" t="s">
        <v>975</v>
      </c>
      <c r="G77" s="116" t="s">
        <v>1470</v>
      </c>
      <c r="H77" s="116" t="s">
        <v>1898</v>
      </c>
      <c r="I77" s="116" t="s">
        <v>2156</v>
      </c>
      <c r="L77" s="116"/>
    </row>
    <row r="78" spans="1:12" x14ac:dyDescent="0.35">
      <c r="A78" s="4">
        <f t="shared" si="3"/>
        <v>75</v>
      </c>
      <c r="B78" s="116" t="str">
        <f t="shared" si="4"/>
        <v>Unmissverständlich?</v>
      </c>
      <c r="C78" s="4">
        <f t="shared" si="5"/>
        <v>75</v>
      </c>
      <c r="D78" s="116" t="s">
        <v>1297</v>
      </c>
      <c r="E78" s="116" t="s">
        <v>601</v>
      </c>
      <c r="F78" s="116" t="s">
        <v>978</v>
      </c>
      <c r="G78" s="116" t="s">
        <v>1471</v>
      </c>
      <c r="H78" s="116" t="s">
        <v>1899</v>
      </c>
      <c r="I78" s="116" t="s">
        <v>2157</v>
      </c>
      <c r="L78" s="116"/>
    </row>
    <row r="79" spans="1:12" x14ac:dyDescent="0.35">
      <c r="A79" s="4">
        <f t="shared" si="3"/>
        <v>76</v>
      </c>
      <c r="B79" s="116" t="str">
        <f t="shared" si="4"/>
        <v>Stellplatzmarkierung</v>
      </c>
      <c r="C79" s="4">
        <f t="shared" si="5"/>
        <v>76</v>
      </c>
      <c r="D79" s="116" t="s">
        <v>1298</v>
      </c>
      <c r="E79" s="116" t="s">
        <v>603</v>
      </c>
      <c r="F79" s="116" t="s">
        <v>979</v>
      </c>
      <c r="G79" s="116" t="s">
        <v>1473</v>
      </c>
      <c r="H79" s="116" t="s">
        <v>1901</v>
      </c>
      <c r="I79" s="116" t="s">
        <v>2159</v>
      </c>
      <c r="L79" s="116"/>
    </row>
    <row r="80" spans="1:12" x14ac:dyDescent="0.35">
      <c r="A80" s="4">
        <f t="shared" si="3"/>
        <v>77</v>
      </c>
      <c r="B80" s="116" t="str">
        <f t="shared" si="4"/>
        <v>Sind die Stellplätze deutlich markiert?</v>
      </c>
      <c r="C80" s="4">
        <f t="shared" si="5"/>
        <v>77</v>
      </c>
      <c r="D80" s="116" t="s">
        <v>155</v>
      </c>
      <c r="E80" s="116" t="s">
        <v>604</v>
      </c>
      <c r="F80" s="116" t="s">
        <v>980</v>
      </c>
      <c r="G80" s="116" t="s">
        <v>1474</v>
      </c>
      <c r="H80" s="116" t="s">
        <v>1902</v>
      </c>
      <c r="I80" s="116" t="s">
        <v>2160</v>
      </c>
      <c r="L80" s="116"/>
    </row>
    <row r="81" spans="1:12" ht="29" x14ac:dyDescent="0.35">
      <c r="A81" s="4">
        <f t="shared" si="3"/>
        <v>78</v>
      </c>
      <c r="B81" s="116" t="str">
        <f t="shared" si="4"/>
        <v>Sind die Markierungen bis auf die Wand verlängert um das Einparken zu erleichtern?</v>
      </c>
      <c r="C81" s="4">
        <f t="shared" si="5"/>
        <v>78</v>
      </c>
      <c r="D81" s="116" t="s">
        <v>156</v>
      </c>
      <c r="E81" s="116" t="s">
        <v>605</v>
      </c>
      <c r="F81" s="116" t="s">
        <v>981</v>
      </c>
      <c r="G81" s="116" t="s">
        <v>1475</v>
      </c>
      <c r="H81" s="116" t="s">
        <v>1903</v>
      </c>
      <c r="I81" s="116" t="s">
        <v>2161</v>
      </c>
      <c r="L81" s="116"/>
    </row>
    <row r="82" spans="1:12" x14ac:dyDescent="0.35">
      <c r="A82" s="4">
        <f t="shared" si="3"/>
        <v>79</v>
      </c>
      <c r="B82" s="116" t="str">
        <f t="shared" si="4"/>
        <v>Sind die Fahrbahnmarkierungen:</v>
      </c>
      <c r="C82" s="4">
        <f t="shared" si="5"/>
        <v>79</v>
      </c>
      <c r="D82" s="116" t="s">
        <v>158</v>
      </c>
      <c r="E82" s="116" t="s">
        <v>606</v>
      </c>
      <c r="F82" s="116" t="s">
        <v>982</v>
      </c>
      <c r="G82" s="116" t="s">
        <v>1476</v>
      </c>
      <c r="H82" s="116" t="s">
        <v>1904</v>
      </c>
      <c r="I82" s="116" t="s">
        <v>2162</v>
      </c>
      <c r="L82" s="116"/>
    </row>
    <row r="83" spans="1:12" x14ac:dyDescent="0.35">
      <c r="A83" s="4">
        <f t="shared" si="3"/>
        <v>80</v>
      </c>
      <c r="B83" s="116" t="str">
        <f t="shared" si="4"/>
        <v>Vollständig?</v>
      </c>
      <c r="C83" s="4">
        <f t="shared" si="5"/>
        <v>80</v>
      </c>
      <c r="D83" s="116" t="s">
        <v>1296</v>
      </c>
      <c r="E83" s="116" t="s">
        <v>599</v>
      </c>
      <c r="F83" s="116" t="s">
        <v>983</v>
      </c>
      <c r="G83" s="116" t="s">
        <v>1469</v>
      </c>
      <c r="H83" s="116" t="s">
        <v>1897</v>
      </c>
      <c r="I83" s="116" t="s">
        <v>2163</v>
      </c>
      <c r="L83" s="116"/>
    </row>
    <row r="84" spans="1:12" x14ac:dyDescent="0.35">
      <c r="A84" s="4">
        <f t="shared" si="3"/>
        <v>81</v>
      </c>
      <c r="B84" s="116" t="str">
        <f t="shared" si="4"/>
        <v>Leicht zu sehen?</v>
      </c>
      <c r="C84" s="4">
        <f t="shared" si="5"/>
        <v>81</v>
      </c>
      <c r="D84" s="116" t="s">
        <v>154</v>
      </c>
      <c r="E84" s="116" t="s">
        <v>600</v>
      </c>
      <c r="F84" s="116" t="s">
        <v>975</v>
      </c>
      <c r="G84" s="116" t="s">
        <v>1470</v>
      </c>
      <c r="H84" s="116" t="s">
        <v>1898</v>
      </c>
      <c r="I84" s="116" t="s">
        <v>2164</v>
      </c>
      <c r="L84" s="116"/>
    </row>
    <row r="85" spans="1:12" x14ac:dyDescent="0.35">
      <c r="A85" s="4">
        <f t="shared" si="3"/>
        <v>82</v>
      </c>
      <c r="B85" s="116" t="str">
        <f t="shared" si="4"/>
        <v>Unmissverständlich?</v>
      </c>
      <c r="C85" s="4">
        <f t="shared" si="5"/>
        <v>82</v>
      </c>
      <c r="D85" s="116" t="s">
        <v>1297</v>
      </c>
      <c r="E85" s="116" t="s">
        <v>601</v>
      </c>
      <c r="F85" s="116" t="s">
        <v>978</v>
      </c>
      <c r="G85" s="116" t="s">
        <v>1471</v>
      </c>
      <c r="H85" s="116" t="s">
        <v>1899</v>
      </c>
      <c r="I85" s="116" t="s">
        <v>2165</v>
      </c>
      <c r="L85" s="116"/>
    </row>
    <row r="86" spans="1:12" ht="29" x14ac:dyDescent="0.35">
      <c r="A86" s="4">
        <f t="shared" si="3"/>
        <v>83</v>
      </c>
      <c r="B86" s="116" t="str">
        <f t="shared" si="4"/>
        <v>Wird die Verfügbarkeit von Stellplätzen für Rollstuhlfahrer an der Einfahrt angezeigt?</v>
      </c>
      <c r="C86" s="4">
        <f t="shared" si="5"/>
        <v>83</v>
      </c>
      <c r="D86" s="116" t="s">
        <v>161</v>
      </c>
      <c r="E86" s="116" t="s">
        <v>607</v>
      </c>
      <c r="F86" s="116" t="s">
        <v>984</v>
      </c>
      <c r="G86" s="116" t="s">
        <v>1477</v>
      </c>
      <c r="H86" s="116" t="s">
        <v>1905</v>
      </c>
      <c r="I86" s="165" t="s">
        <v>2166</v>
      </c>
      <c r="L86" s="116"/>
    </row>
    <row r="87" spans="1:12" x14ac:dyDescent="0.35">
      <c r="A87" s="4">
        <f t="shared" si="3"/>
        <v>84</v>
      </c>
      <c r="B87" s="116" t="str">
        <f t="shared" si="4"/>
        <v>Zugänglich für Rollstühle?</v>
      </c>
      <c r="C87" s="4">
        <f t="shared" si="5"/>
        <v>84</v>
      </c>
      <c r="D87" s="116" t="s">
        <v>159</v>
      </c>
      <c r="E87" s="116" t="s">
        <v>608</v>
      </c>
      <c r="F87" s="116" t="s">
        <v>985</v>
      </c>
      <c r="G87" s="116" t="s">
        <v>1478</v>
      </c>
      <c r="H87" s="116" t="s">
        <v>1906</v>
      </c>
      <c r="I87" s="116" t="s">
        <v>2167</v>
      </c>
      <c r="L87" s="116"/>
    </row>
    <row r="88" spans="1:12" x14ac:dyDescent="0.35">
      <c r="A88" s="4">
        <f t="shared" si="3"/>
        <v>85</v>
      </c>
      <c r="B88" s="116" t="str">
        <f t="shared" si="4"/>
        <v>Sind die Plätze mindestens 3.50 m breit?</v>
      </c>
      <c r="C88" s="4">
        <f t="shared" si="5"/>
        <v>85</v>
      </c>
      <c r="D88" s="116" t="s">
        <v>278</v>
      </c>
      <c r="E88" s="116" t="s">
        <v>609</v>
      </c>
      <c r="F88" s="116" t="s">
        <v>986</v>
      </c>
      <c r="G88" s="116" t="s">
        <v>1479</v>
      </c>
      <c r="H88" s="116" t="s">
        <v>1907</v>
      </c>
      <c r="I88" s="116" t="s">
        <v>2168</v>
      </c>
      <c r="L88" s="116"/>
    </row>
    <row r="89" spans="1:12" x14ac:dyDescent="0.35">
      <c r="A89" s="4">
        <f t="shared" si="3"/>
        <v>86</v>
      </c>
      <c r="B89" s="116" t="str">
        <f t="shared" si="4"/>
        <v>Sind sie Nahe am Ausgang?</v>
      </c>
      <c r="C89" s="4">
        <f t="shared" si="5"/>
        <v>86</v>
      </c>
      <c r="D89" s="116" t="s">
        <v>160</v>
      </c>
      <c r="E89" s="116" t="s">
        <v>610</v>
      </c>
      <c r="F89" s="116" t="s">
        <v>987</v>
      </c>
      <c r="G89" s="116" t="s">
        <v>1480</v>
      </c>
      <c r="H89" s="116" t="s">
        <v>1908</v>
      </c>
      <c r="I89" s="116" t="s">
        <v>2169</v>
      </c>
      <c r="L89" s="116"/>
    </row>
    <row r="90" spans="1:12" x14ac:dyDescent="0.35">
      <c r="A90" s="4">
        <f t="shared" si="3"/>
        <v>87</v>
      </c>
      <c r="B90" s="116" t="str">
        <f t="shared" si="4"/>
        <v>Gibt es eine Hinweisbeschilderung zu den Stellplätzen für Behinderte?</v>
      </c>
      <c r="C90" s="4">
        <f t="shared" si="5"/>
        <v>87</v>
      </c>
      <c r="D90" s="116" t="s">
        <v>1299</v>
      </c>
      <c r="E90" s="116" t="s">
        <v>1313</v>
      </c>
      <c r="F90" s="116" t="s">
        <v>988</v>
      </c>
      <c r="G90" s="116" t="s">
        <v>1481</v>
      </c>
      <c r="H90" s="116" t="s">
        <v>1909</v>
      </c>
      <c r="I90" s="165" t="s">
        <v>2170</v>
      </c>
      <c r="L90" s="116"/>
    </row>
    <row r="91" spans="1:12" ht="29" x14ac:dyDescent="0.35">
      <c r="A91" s="4">
        <f t="shared" si="3"/>
        <v>88</v>
      </c>
      <c r="B91" s="116" t="str">
        <f t="shared" si="4"/>
        <v>Aufstellwinkel für 85% der Stellplätze (Winkel 76-90° = 0, Winkel  45-75° = 2)</v>
      </c>
      <c r="C91" s="4">
        <f t="shared" si="5"/>
        <v>88</v>
      </c>
      <c r="D91" s="116" t="s">
        <v>279</v>
      </c>
      <c r="E91" s="116" t="s">
        <v>1300</v>
      </c>
      <c r="F91" s="116" t="s">
        <v>989</v>
      </c>
      <c r="G91" s="116" t="s">
        <v>1482</v>
      </c>
      <c r="H91" s="116" t="s">
        <v>1910</v>
      </c>
      <c r="I91" s="116" t="s">
        <v>2171</v>
      </c>
      <c r="L91" s="116"/>
    </row>
    <row r="92" spans="1:12" ht="116" x14ac:dyDescent="0.35">
      <c r="A92" s="4">
        <f t="shared" si="3"/>
        <v>89</v>
      </c>
      <c r="B92" s="116" t="str">
        <f t="shared" si="4"/>
        <v>Stellplatzbreite (85 % der Stellplätze), A oder B: 
A: Aufstellwinkel zwischen 76 – 90 Grad
(2.25m = -5, 2.30m = 0, 2.35m = 2, 2.40m = 4, 2.45m = 6, 2.50m = 8) 
B: Aufstellwinkel zwischen 45-75 degrés
(2.25m = -5, 2.30m = 1, 2.35m = 3, 2.40m = 5, 2.45m = 8)
Die Breite von 2.25m ist nur bei über 10 Jahre alten renovierten Parkhäusern zulässig. Neue Parkhäuser müssen eine Stellplatzbreite von mindestens 2.30m aufweisen.</v>
      </c>
      <c r="C92" s="4">
        <f t="shared" si="5"/>
        <v>89</v>
      </c>
      <c r="D92" s="116" t="s">
        <v>280</v>
      </c>
      <c r="E92" s="116" t="s">
        <v>2545</v>
      </c>
      <c r="F92" s="116" t="s">
        <v>990</v>
      </c>
      <c r="G92" s="116" t="s">
        <v>1631</v>
      </c>
      <c r="H92" s="116" t="s">
        <v>1911</v>
      </c>
      <c r="I92" s="116" t="s">
        <v>2172</v>
      </c>
      <c r="L92" s="116"/>
    </row>
    <row r="93" spans="1:12" ht="275.5" x14ac:dyDescent="0.35">
      <c r="A93" s="4">
        <f t="shared" si="3"/>
        <v>90</v>
      </c>
      <c r="B93" s="116" t="str">
        <f t="shared" si="4"/>
        <v xml:space="preserve">Parkgassenbreite  (Fahrbahn plus 2 Stellplätze) in Abhängigkeit der Stellplatzbreite und des Aufstellwinkels: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Breiten wie oben aufgeführt erhalten 3 Punkte. 
Breiten bis zu 30 cm weniger erhalten 2 Punkte
Breiten bis zu 60 cm weniger erhalten 1 Punkte
Über 60 cm weniger: 0 Punkte
</v>
      </c>
      <c r="C93" s="4">
        <f t="shared" si="5"/>
        <v>90</v>
      </c>
      <c r="D93" s="116" t="s">
        <v>82</v>
      </c>
      <c r="E93" s="116" t="s">
        <v>688</v>
      </c>
      <c r="F93" s="116" t="s">
        <v>991</v>
      </c>
      <c r="G93" s="116" t="s">
        <v>1632</v>
      </c>
      <c r="H93" s="116" t="s">
        <v>1912</v>
      </c>
      <c r="I93" s="165" t="s">
        <v>2173</v>
      </c>
      <c r="L93" s="116"/>
    </row>
    <row r="94" spans="1:12" ht="43.5" x14ac:dyDescent="0.35">
      <c r="A94" s="4">
        <f t="shared" si="3"/>
        <v>91</v>
      </c>
      <c r="B94" s="116" t="str">
        <f t="shared" si="4"/>
        <v>Bauliche Ausbildung der Schrammborde zum Schutz vor Beschädigungen der Reifen und Felgen:
•  Ja = 2, kein Schutz = 0</v>
      </c>
      <c r="C94" s="4">
        <f t="shared" si="5"/>
        <v>91</v>
      </c>
      <c r="D94" s="116" t="s">
        <v>281</v>
      </c>
      <c r="E94" s="116" t="s">
        <v>689</v>
      </c>
      <c r="F94" s="116" t="s">
        <v>992</v>
      </c>
      <c r="G94" s="116" t="s">
        <v>1633</v>
      </c>
      <c r="H94" s="116" t="s">
        <v>1913</v>
      </c>
      <c r="I94" s="116" t="s">
        <v>2174</v>
      </c>
      <c r="L94" s="116"/>
    </row>
    <row r="95" spans="1:12" x14ac:dyDescent="0.35">
      <c r="A95" s="4">
        <f t="shared" si="3"/>
        <v>92</v>
      </c>
      <c r="B95" s="116" t="str">
        <f t="shared" si="4"/>
        <v>Fahrzeugrampen</v>
      </c>
      <c r="C95" s="4">
        <f t="shared" si="5"/>
        <v>92</v>
      </c>
      <c r="D95" s="116" t="s">
        <v>482</v>
      </c>
      <c r="E95" s="116" t="s">
        <v>611</v>
      </c>
      <c r="F95" s="116" t="s">
        <v>993</v>
      </c>
      <c r="G95" s="116" t="s">
        <v>1483</v>
      </c>
      <c r="H95" s="116" t="s">
        <v>1914</v>
      </c>
      <c r="I95" s="116" t="s">
        <v>2175</v>
      </c>
      <c r="L95" s="116"/>
    </row>
    <row r="96" spans="1:12" ht="29" x14ac:dyDescent="0.35">
      <c r="A96" s="4">
        <f t="shared" si="3"/>
        <v>93</v>
      </c>
      <c r="B96" s="116" t="str">
        <f t="shared" si="4"/>
        <v>Handelt es sich um ein 1-geschossiges Parkhaus ohne Rampen oder geneigte Parkebenen?</v>
      </c>
      <c r="C96" s="4">
        <f t="shared" si="5"/>
        <v>93</v>
      </c>
      <c r="D96" s="116" t="s">
        <v>162</v>
      </c>
      <c r="E96" s="116" t="s">
        <v>2546</v>
      </c>
      <c r="F96" s="116" t="s">
        <v>994</v>
      </c>
      <c r="G96" s="116" t="s">
        <v>1484</v>
      </c>
      <c r="H96" s="116" t="s">
        <v>1915</v>
      </c>
      <c r="I96" s="116" t="s">
        <v>2176</v>
      </c>
      <c r="L96" s="116"/>
    </row>
    <row r="97" spans="1:12" ht="25" x14ac:dyDescent="0.35">
      <c r="A97" s="4">
        <f t="shared" si="3"/>
        <v>94</v>
      </c>
      <c r="B97" s="118" t="str">
        <f t="shared" si="4"/>
        <v>Oberflächenausbildung der Rampe zwischen den Parkebenen (rutschhemmend 1; glatt 0, keine Rampen 1)</v>
      </c>
      <c r="C97" s="4">
        <f t="shared" si="5"/>
        <v>94</v>
      </c>
      <c r="D97" s="118" t="s">
        <v>166</v>
      </c>
      <c r="E97" s="118" t="s">
        <v>1301</v>
      </c>
      <c r="F97" s="118" t="s">
        <v>995</v>
      </c>
      <c r="G97" s="118" t="s">
        <v>1485</v>
      </c>
      <c r="H97" s="118" t="s">
        <v>1916</v>
      </c>
      <c r="I97" s="167" t="s">
        <v>2177</v>
      </c>
      <c r="L97" s="118"/>
    </row>
    <row r="98" spans="1:12" ht="37.5" x14ac:dyDescent="0.35">
      <c r="A98" s="4">
        <f t="shared" si="3"/>
        <v>95</v>
      </c>
      <c r="B98" s="118" t="str">
        <f t="shared" si="4"/>
        <v>Gefälle der Geschoßverbindungsrampen (keine Parkrampen)
•  &lt;10%=3, 10-15%=1, &gt;15%=0, keine Rampen=3</v>
      </c>
      <c r="C98" s="4">
        <f t="shared" si="5"/>
        <v>95</v>
      </c>
      <c r="D98" s="118" t="s">
        <v>171</v>
      </c>
      <c r="E98" s="118" t="s">
        <v>1302</v>
      </c>
      <c r="F98" s="118" t="s">
        <v>996</v>
      </c>
      <c r="G98" s="118" t="s">
        <v>1634</v>
      </c>
      <c r="H98" s="118" t="s">
        <v>1917</v>
      </c>
      <c r="I98" s="168" t="s">
        <v>2178</v>
      </c>
      <c r="L98" s="118"/>
    </row>
    <row r="99" spans="1:12" ht="25" x14ac:dyDescent="0.35">
      <c r="A99" s="4">
        <f t="shared" si="3"/>
        <v>96</v>
      </c>
      <c r="B99" s="118" t="str">
        <f t="shared" si="4"/>
        <v>Rampenbreite (zwischen Schrammborden), gemessen am engsten Punkt der Rampen</v>
      </c>
      <c r="C99" s="4">
        <f t="shared" si="5"/>
        <v>96</v>
      </c>
      <c r="D99" s="118" t="s">
        <v>1303</v>
      </c>
      <c r="E99" s="118" t="s">
        <v>612</v>
      </c>
      <c r="F99" s="118" t="s">
        <v>997</v>
      </c>
      <c r="G99" s="118" t="s">
        <v>1486</v>
      </c>
      <c r="H99" s="118" t="s">
        <v>1918</v>
      </c>
      <c r="I99" s="167" t="s">
        <v>2179</v>
      </c>
      <c r="L99" s="118"/>
    </row>
    <row r="100" spans="1:12" ht="25" x14ac:dyDescent="0.35">
      <c r="A100" s="4">
        <f t="shared" si="3"/>
        <v>97</v>
      </c>
      <c r="B100" s="119" t="str">
        <f t="shared" si="4"/>
        <v>Gekrümmte Rampen müssen für dieselbe Punktzahl um 1m breiter sein? Sind die Rampen gekrümmt?</v>
      </c>
      <c r="C100" s="4">
        <f t="shared" si="5"/>
        <v>97</v>
      </c>
      <c r="D100" s="119" t="s">
        <v>172</v>
      </c>
      <c r="E100" s="119" t="s">
        <v>690</v>
      </c>
      <c r="F100" s="119" t="s">
        <v>998</v>
      </c>
      <c r="G100" s="119" t="s">
        <v>1487</v>
      </c>
      <c r="H100" s="119" t="s">
        <v>1919</v>
      </c>
      <c r="I100" s="169" t="s">
        <v>2180</v>
      </c>
      <c r="L100" s="119"/>
    </row>
    <row r="101" spans="1:12" ht="28" x14ac:dyDescent="0.35">
      <c r="A101" s="4">
        <f t="shared" si="3"/>
        <v>98</v>
      </c>
      <c r="B101" s="120" t="str">
        <f t="shared" si="4"/>
        <v>Breite &lt; 3m=0, 3-3.3m=1, &gt;3.3m=2, keine Rampen=2</v>
      </c>
      <c r="C101" s="4">
        <f t="shared" si="5"/>
        <v>98</v>
      </c>
      <c r="D101" s="120" t="str">
        <f>CONCATENATE("Please choose width. ",IF(rampsCurved=yes,"&lt; 4m=0, 4-4.3m=1, &gt;4.3m=2, no ramps=2","&lt; 3m=0, 3-3.3m=1, &gt;3.3m=2, no ramps=2"))</f>
        <v>Please choose width. &lt; 3m=0, 3-3.3m=1, &gt;3.3m=2, no ramps=2</v>
      </c>
      <c r="E101" s="120" t="s">
        <v>2547</v>
      </c>
      <c r="F101" s="120" t="str">
        <f>CONCATENATE("Largeur ",IF(rampsCurved=yes,"&lt; 4m=0, 4-4.3m=1, &gt;4.3m=2, pas de rampe=2","&lt; 3m=0, 3-3.3m=1, &gt;3.3m=2, pas de rampe=2"))</f>
        <v>Largeur &lt; 3m=0, 3-3.3m=1, &gt;3.3m=2, pas de rampe=2</v>
      </c>
      <c r="G101" s="120" t="s">
        <v>2516</v>
      </c>
      <c r="H101" s="120" t="str">
        <f>CONCATENATE("Elegir el ancho ",IF(rampsCurved=yes,"&lt; 4m=0, 4-4.3m=1, &gt;4.3m=2, sin rampas=2","&lt; 3m=0, 3-3.3m=1, &gt;3.3m=2, sin rampas=2"))</f>
        <v>Elegir el ancho &lt; 3m=0, 3-3.3m=1, &gt;3.3m=2, sin rampas=2</v>
      </c>
      <c r="I101" s="170" t="str">
        <f>CONCATENATE("Selecionar a Largura ",IF(rampsCurved=yes,"&lt; 4m=0, 4-4.3m=1, &gt;4.3m=2, sem rampas=2","&lt; 3m=0, 3-3.3m=1, &gt;3.3m=2, sem rampas=2"))</f>
        <v>Selecionar a Largura &lt; 3m=0, 3-3.3m=1, &gt;3.3m=2, sem rampas=2</v>
      </c>
      <c r="L101" s="120"/>
    </row>
    <row r="102" spans="1:12" ht="50" x14ac:dyDescent="0.35">
      <c r="A102" s="4">
        <f t="shared" si="3"/>
        <v>99</v>
      </c>
      <c r="B102" s="118" t="str">
        <f t="shared" si="4"/>
        <v>Rampenradius (Außenradius)
•  bis 9m=0, 9–10 m=1, &gt;10m=2, keine Rampen=2
Bei mehrspurigen Rampen gelten diese Angaben für die innere Spur.</v>
      </c>
      <c r="C102" s="4">
        <f t="shared" si="5"/>
        <v>99</v>
      </c>
      <c r="D102" s="118" t="s">
        <v>178</v>
      </c>
      <c r="E102" s="118" t="s">
        <v>1304</v>
      </c>
      <c r="F102" s="118" t="s">
        <v>999</v>
      </c>
      <c r="G102" s="118" t="s">
        <v>1635</v>
      </c>
      <c r="H102" s="118" t="s">
        <v>1920</v>
      </c>
      <c r="I102" s="167" t="s">
        <v>2302</v>
      </c>
      <c r="L102" s="118"/>
    </row>
    <row r="103" spans="1:12" ht="25" x14ac:dyDescent="0.35">
      <c r="A103" s="4">
        <f t="shared" si="3"/>
        <v>100</v>
      </c>
      <c r="B103" s="118" t="str">
        <f t="shared" si="4"/>
        <v>Eingangskurve zu geraden Rampen
•  &lt;7.5m=0, 7.5–9m=1, &gt;9m=2, keine Rampen=2</v>
      </c>
      <c r="C103" s="4">
        <f t="shared" si="5"/>
        <v>100</v>
      </c>
      <c r="D103" s="118" t="s">
        <v>179</v>
      </c>
      <c r="E103" s="118" t="s">
        <v>691</v>
      </c>
      <c r="F103" s="118" t="s">
        <v>1000</v>
      </c>
      <c r="G103" s="118" t="s">
        <v>1636</v>
      </c>
      <c r="H103" s="118" t="s">
        <v>1921</v>
      </c>
      <c r="I103" s="168" t="s">
        <v>2181</v>
      </c>
      <c r="L103" s="118"/>
    </row>
    <row r="104" spans="1:12" ht="25" x14ac:dyDescent="0.35">
      <c r="A104" s="4">
        <f t="shared" si="3"/>
        <v>101</v>
      </c>
      <c r="B104" s="118" t="str">
        <f t="shared" si="4"/>
        <v>Gefälle von Parkrampen (geneigte Parkebenen)
•  &lt;5%=3, 5-7 =1, &gt;7%=0, kein Gefälle =3</v>
      </c>
      <c r="C104" s="4">
        <f t="shared" si="5"/>
        <v>101</v>
      </c>
      <c r="D104" s="118" t="s">
        <v>180</v>
      </c>
      <c r="E104" s="118" t="s">
        <v>692</v>
      </c>
      <c r="F104" s="118" t="s">
        <v>1001</v>
      </c>
      <c r="G104" s="118" t="s">
        <v>1637</v>
      </c>
      <c r="H104" s="118" t="s">
        <v>1922</v>
      </c>
      <c r="I104" s="168" t="s">
        <v>2303</v>
      </c>
      <c r="L104" s="118"/>
    </row>
    <row r="105" spans="1:12" x14ac:dyDescent="0.35">
      <c r="A105" s="4">
        <f t="shared" si="3"/>
        <v>102</v>
      </c>
      <c r="B105" s="116" t="str">
        <f t="shared" si="4"/>
        <v>Fußgängereingang</v>
      </c>
      <c r="C105" s="4">
        <f t="shared" si="5"/>
        <v>102</v>
      </c>
      <c r="D105" s="116" t="s">
        <v>181</v>
      </c>
      <c r="E105" s="116" t="s">
        <v>613</v>
      </c>
      <c r="F105" s="116" t="s">
        <v>1002</v>
      </c>
      <c r="G105" s="116" t="s">
        <v>1488</v>
      </c>
      <c r="H105" s="116" t="s">
        <v>1923</v>
      </c>
      <c r="I105" s="116" t="s">
        <v>2182</v>
      </c>
      <c r="L105" s="116"/>
    </row>
    <row r="106" spans="1:12" x14ac:dyDescent="0.35">
      <c r="A106" s="4">
        <f t="shared" si="3"/>
        <v>103</v>
      </c>
      <c r="B106" s="116" t="str">
        <f t="shared" si="4"/>
        <v>Positionsliste</v>
      </c>
      <c r="C106" s="4">
        <f t="shared" si="5"/>
        <v>103</v>
      </c>
      <c r="D106" s="116" t="s">
        <v>276</v>
      </c>
      <c r="E106" s="116" t="s">
        <v>614</v>
      </c>
      <c r="F106" s="116" t="s">
        <v>1003</v>
      </c>
      <c r="G106" s="116" t="s">
        <v>1489</v>
      </c>
      <c r="H106" s="116" t="s">
        <v>1924</v>
      </c>
      <c r="I106" s="116" t="s">
        <v>2183</v>
      </c>
      <c r="L106" s="116"/>
    </row>
    <row r="107" spans="1:12" ht="87" x14ac:dyDescent="0.35">
      <c r="A107" s="4">
        <f t="shared" si="3"/>
        <v>104</v>
      </c>
      <c r="B107" s="116" t="str">
        <f t="shared" si="4"/>
        <v>Durchgangshöhe für Fußgänger (Türen ausgenommen)
(&lt;2.00m = 0, 2.00m – 2.10m = 1, 2.10m – 2.20m = 2, &gt; 2.20m = 3)</v>
      </c>
      <c r="C107" s="4">
        <f t="shared" si="5"/>
        <v>104</v>
      </c>
      <c r="D107" s="116" t="s">
        <v>694</v>
      </c>
      <c r="E107" s="116" t="s">
        <v>693</v>
      </c>
      <c r="F107" s="116" t="s">
        <v>1004</v>
      </c>
      <c r="G107" s="116" t="s">
        <v>1638</v>
      </c>
      <c r="H107" s="116" t="s">
        <v>1925</v>
      </c>
      <c r="I107" s="165" t="s">
        <v>2304</v>
      </c>
      <c r="L107" s="116"/>
    </row>
    <row r="108" spans="1:12" ht="29" x14ac:dyDescent="0.35">
      <c r="A108" s="4">
        <f t="shared" si="3"/>
        <v>105</v>
      </c>
      <c r="B108" s="116" t="str">
        <f t="shared" si="4"/>
        <v>Ausgewiesene Fußwege (z.B.: baulich erhöht, Zebrastreifen oder farbig) (ja = 2, nein = 0)</v>
      </c>
      <c r="C108" s="4">
        <f t="shared" si="5"/>
        <v>105</v>
      </c>
      <c r="D108" s="116" t="s">
        <v>494</v>
      </c>
      <c r="E108" s="116" t="s">
        <v>695</v>
      </c>
      <c r="F108" s="116" t="s">
        <v>1005</v>
      </c>
      <c r="G108" s="116" t="s">
        <v>1490</v>
      </c>
      <c r="H108" s="116" t="s">
        <v>1926</v>
      </c>
      <c r="I108" s="165" t="s">
        <v>2306</v>
      </c>
      <c r="L108" s="116"/>
    </row>
    <row r="109" spans="1:12" ht="58" x14ac:dyDescent="0.35">
      <c r="A109" s="4">
        <f t="shared" si="3"/>
        <v>106</v>
      </c>
      <c r="B109" s="116" t="str">
        <f t="shared" si="4"/>
        <v>Sind die Türen für Fußgänger leicht zu öffnen ?
(Ja, Automatiktüren oder offene Verbindung = 4, leicht zu öffnen = 2, nein = 0)</v>
      </c>
      <c r="C109" s="4">
        <f t="shared" si="5"/>
        <v>106</v>
      </c>
      <c r="D109" s="116" t="s">
        <v>193</v>
      </c>
      <c r="E109" s="116" t="s">
        <v>696</v>
      </c>
      <c r="F109" s="116" t="s">
        <v>1006</v>
      </c>
      <c r="G109" s="116" t="s">
        <v>1639</v>
      </c>
      <c r="H109" s="116" t="s">
        <v>1927</v>
      </c>
      <c r="I109" s="116" t="s">
        <v>2305</v>
      </c>
      <c r="L109" s="116"/>
    </row>
    <row r="110" spans="1:12" ht="29" x14ac:dyDescent="0.35">
      <c r="A110" s="4">
        <f t="shared" si="3"/>
        <v>107</v>
      </c>
      <c r="B110" s="116" t="str">
        <f t="shared" si="4"/>
        <v>Ist der Fußgängereingang auch während der Öffnungszeiten mit einem Kartenleser gesichert ? (Ja=2,Nein=0)</v>
      </c>
      <c r="C110" s="4">
        <f t="shared" si="5"/>
        <v>107</v>
      </c>
      <c r="D110" s="116" t="s">
        <v>194</v>
      </c>
      <c r="E110" s="116" t="s">
        <v>697</v>
      </c>
      <c r="F110" s="116" t="s">
        <v>1007</v>
      </c>
      <c r="G110" s="116" t="s">
        <v>1491</v>
      </c>
      <c r="H110" s="116" t="s">
        <v>1928</v>
      </c>
      <c r="I110" s="116" t="s">
        <v>2184</v>
      </c>
      <c r="L110" s="116"/>
    </row>
    <row r="111" spans="1:12" ht="43.5" x14ac:dyDescent="0.35">
      <c r="A111" s="4">
        <f t="shared" si="3"/>
        <v>108</v>
      </c>
      <c r="B111" s="116" t="str">
        <f t="shared" si="4"/>
        <v xml:space="preserve">Liegt ein Stadtplan an einem zentralen Punkt des Parkhauses aus ?:
(An jedem Fußgängerausgang= 2, An einer anderen Stelle = 1, Nein = 0)
</v>
      </c>
      <c r="C111" s="4">
        <f t="shared" si="5"/>
        <v>108</v>
      </c>
      <c r="D111" s="116" t="s">
        <v>197</v>
      </c>
      <c r="E111" s="116" t="s">
        <v>698</v>
      </c>
      <c r="F111" s="116" t="s">
        <v>1008</v>
      </c>
      <c r="G111" s="116" t="s">
        <v>1640</v>
      </c>
      <c r="H111" s="165" t="s">
        <v>1929</v>
      </c>
      <c r="I111" s="116" t="s">
        <v>2307</v>
      </c>
      <c r="L111" s="116"/>
    </row>
    <row r="112" spans="1:12" x14ac:dyDescent="0.35">
      <c r="A112" s="4">
        <f t="shared" si="3"/>
        <v>109</v>
      </c>
      <c r="B112" s="116" t="str">
        <f t="shared" si="4"/>
        <v>Wegweisung:</v>
      </c>
      <c r="C112" s="4">
        <f t="shared" si="5"/>
        <v>109</v>
      </c>
      <c r="D112" s="116" t="s">
        <v>198</v>
      </c>
      <c r="E112" s="116" t="s">
        <v>615</v>
      </c>
      <c r="F112" s="116" t="s">
        <v>1009</v>
      </c>
      <c r="G112" s="116" t="s">
        <v>1492</v>
      </c>
      <c r="H112" s="116" t="s">
        <v>1930</v>
      </c>
      <c r="I112" s="116" t="s">
        <v>2185</v>
      </c>
      <c r="L112" s="116"/>
    </row>
    <row r="113" spans="1:12" ht="29" x14ac:dyDescent="0.35">
      <c r="A113" s="4">
        <f t="shared" si="3"/>
        <v>110</v>
      </c>
      <c r="B113" s="116" t="str">
        <f t="shared" si="4"/>
        <v>Zu wichtigen Zielen außerhalb des Parkhauses (Ja=1, Nein=0):</v>
      </c>
      <c r="C113" s="4">
        <f t="shared" si="5"/>
        <v>110</v>
      </c>
      <c r="D113" s="116" t="s">
        <v>268</v>
      </c>
      <c r="E113" s="116" t="s">
        <v>699</v>
      </c>
      <c r="F113" s="116" t="s">
        <v>1010</v>
      </c>
      <c r="G113" s="116" t="s">
        <v>1493</v>
      </c>
      <c r="H113" s="116" t="s">
        <v>1931</v>
      </c>
      <c r="I113" s="165" t="s">
        <v>2308</v>
      </c>
      <c r="L113" s="116"/>
    </row>
    <row r="114" spans="1:12" ht="29" x14ac:dyDescent="0.35">
      <c r="A114" s="4">
        <f t="shared" si="3"/>
        <v>111</v>
      </c>
      <c r="B114" s="116" t="str">
        <f t="shared" si="4"/>
        <v>In der Umgebung des Parkhauses zu den Eingängen (Ja=1, Nein=0):</v>
      </c>
      <c r="C114" s="4">
        <f t="shared" si="5"/>
        <v>111</v>
      </c>
      <c r="D114" s="116" t="s">
        <v>269</v>
      </c>
      <c r="E114" s="116" t="s">
        <v>700</v>
      </c>
      <c r="F114" s="116" t="s">
        <v>1011</v>
      </c>
      <c r="G114" s="116" t="s">
        <v>1494</v>
      </c>
      <c r="H114" s="116" t="s">
        <v>1932</v>
      </c>
      <c r="I114" s="116" t="s">
        <v>2309</v>
      </c>
      <c r="L114" s="116"/>
    </row>
    <row r="115" spans="1:12" ht="29" x14ac:dyDescent="0.35">
      <c r="A115" s="4">
        <f t="shared" si="3"/>
        <v>112</v>
      </c>
      <c r="B115" s="116" t="str">
        <f t="shared" si="4"/>
        <v>Handelt es sich um ein 1-geschossiges Parkhaus auf Erdgeschoßniveau (keine offener Parkplatz)?</v>
      </c>
      <c r="C115" s="4">
        <f t="shared" si="5"/>
        <v>112</v>
      </c>
      <c r="D115" s="116" t="s">
        <v>199</v>
      </c>
      <c r="E115" s="116" t="s">
        <v>2548</v>
      </c>
      <c r="F115" s="116" t="s">
        <v>1012</v>
      </c>
      <c r="G115" s="116" t="s">
        <v>1495</v>
      </c>
      <c r="H115" s="116" t="s">
        <v>1933</v>
      </c>
      <c r="I115" s="116" t="s">
        <v>2310</v>
      </c>
      <c r="L115" s="116"/>
    </row>
    <row r="116" spans="1:12" x14ac:dyDescent="0.35">
      <c r="A116" s="4">
        <f t="shared" si="3"/>
        <v>113</v>
      </c>
      <c r="B116" s="116" t="str">
        <f t="shared" si="4"/>
        <v>Fahren der/die Aufzüge das Erdgeschoß/Straßenniveau an?</v>
      </c>
      <c r="C116" s="4">
        <f t="shared" si="5"/>
        <v>113</v>
      </c>
      <c r="D116" s="116" t="s">
        <v>203</v>
      </c>
      <c r="E116" s="116" t="s">
        <v>616</v>
      </c>
      <c r="F116" s="116" t="s">
        <v>1013</v>
      </c>
      <c r="G116" s="116" t="s">
        <v>1496</v>
      </c>
      <c r="H116" s="116" t="s">
        <v>1934</v>
      </c>
      <c r="I116" s="116" t="s">
        <v>2311</v>
      </c>
      <c r="L116" s="116"/>
    </row>
    <row r="117" spans="1:12" ht="43.5" x14ac:dyDescent="0.35">
      <c r="A117" s="4">
        <f t="shared" si="3"/>
        <v>114</v>
      </c>
      <c r="B117" s="116" t="str">
        <f t="shared" si="4"/>
        <v>Anzahl der Aufzüge, welche das Erdgeschoß/Straßenniveau  anfahren:
(1 Aufzug = 1, 2 Aufzüge oder mehr = 5)</v>
      </c>
      <c r="C117" s="4">
        <f t="shared" si="5"/>
        <v>114</v>
      </c>
      <c r="D117" s="116" t="s">
        <v>495</v>
      </c>
      <c r="E117" s="116" t="s">
        <v>701</v>
      </c>
      <c r="F117" s="116" t="s">
        <v>1014</v>
      </c>
      <c r="G117" s="116" t="s">
        <v>1641</v>
      </c>
      <c r="H117" s="116" t="s">
        <v>1935</v>
      </c>
      <c r="I117" s="116" t="s">
        <v>2312</v>
      </c>
      <c r="L117" s="116"/>
    </row>
    <row r="118" spans="1:12" ht="29" x14ac:dyDescent="0.35">
      <c r="A118" s="4">
        <f t="shared" si="3"/>
        <v>115</v>
      </c>
      <c r="B118" s="116" t="str">
        <f t="shared" si="4"/>
        <v>Größe der Aufzüge:
(über 8 Personen = 3, 4-8 Personen = 1, weniger als 4 Personen= 0)</v>
      </c>
      <c r="C118" s="4">
        <f t="shared" si="5"/>
        <v>115</v>
      </c>
      <c r="D118" s="116" t="s">
        <v>496</v>
      </c>
      <c r="E118" s="116" t="s">
        <v>2549</v>
      </c>
      <c r="F118" s="116" t="s">
        <v>1015</v>
      </c>
      <c r="G118" s="116" t="s">
        <v>1642</v>
      </c>
      <c r="H118" s="116" t="s">
        <v>1936</v>
      </c>
      <c r="I118" s="116" t="s">
        <v>2313</v>
      </c>
      <c r="L118" s="116"/>
    </row>
    <row r="119" spans="1:12" ht="58" x14ac:dyDescent="0.35">
      <c r="A119" s="4">
        <f t="shared" si="3"/>
        <v>116</v>
      </c>
      <c r="B119" s="116" t="str">
        <f t="shared" si="4"/>
        <v>Sichtverbindung zwischen Aufzug und Vorraum/Parkebene :
(Keine Sichtverbindung = 0, Türen/Schachtwände verglast = 3, kein Aufzug = 0)</v>
      </c>
      <c r="C119" s="4">
        <f t="shared" si="5"/>
        <v>116</v>
      </c>
      <c r="D119" s="116" t="s">
        <v>497</v>
      </c>
      <c r="E119" s="116" t="s">
        <v>702</v>
      </c>
      <c r="F119" s="116" t="s">
        <v>1016</v>
      </c>
      <c r="G119" s="116" t="s">
        <v>1643</v>
      </c>
      <c r="H119" s="116" t="s">
        <v>1937</v>
      </c>
      <c r="I119" s="116" t="s">
        <v>2314</v>
      </c>
      <c r="L119" s="116"/>
    </row>
    <row r="120" spans="1:12" x14ac:dyDescent="0.35">
      <c r="A120" s="4">
        <f t="shared" ref="A120:A183" si="6">C120</f>
        <v>117</v>
      </c>
      <c r="B120" s="116" t="str">
        <f t="shared" si="4"/>
        <v>Anzeige der Etage</v>
      </c>
      <c r="C120" s="4">
        <f t="shared" si="5"/>
        <v>117</v>
      </c>
      <c r="D120" s="116" t="s">
        <v>209</v>
      </c>
      <c r="E120" s="116" t="s">
        <v>617</v>
      </c>
      <c r="F120" s="116" t="s">
        <v>1017</v>
      </c>
      <c r="G120" s="116" t="s">
        <v>1497</v>
      </c>
      <c r="H120" s="116" t="s">
        <v>1938</v>
      </c>
      <c r="I120" s="116" t="s">
        <v>2315</v>
      </c>
      <c r="L120" s="116"/>
    </row>
    <row r="121" spans="1:12" x14ac:dyDescent="0.35">
      <c r="A121" s="4">
        <f t="shared" si="6"/>
        <v>118</v>
      </c>
      <c r="B121" s="116" t="str">
        <f t="shared" si="4"/>
        <v>Im Aufzug</v>
      </c>
      <c r="C121" s="4">
        <f t="shared" si="5"/>
        <v>118</v>
      </c>
      <c r="D121" s="116" t="s">
        <v>210</v>
      </c>
      <c r="E121" s="116" t="s">
        <v>618</v>
      </c>
      <c r="F121" s="116" t="s">
        <v>1018</v>
      </c>
      <c r="G121" s="116" t="s">
        <v>1498</v>
      </c>
      <c r="H121" s="116" t="s">
        <v>1939</v>
      </c>
      <c r="I121" s="116" t="s">
        <v>2186</v>
      </c>
      <c r="L121" s="116"/>
    </row>
    <row r="122" spans="1:12" x14ac:dyDescent="0.35">
      <c r="A122" s="4">
        <f t="shared" si="6"/>
        <v>119</v>
      </c>
      <c r="B122" s="116" t="str">
        <f t="shared" si="4"/>
        <v>Im Aufzugvorraum</v>
      </c>
      <c r="C122" s="4">
        <f t="shared" si="5"/>
        <v>119</v>
      </c>
      <c r="D122" s="116" t="s">
        <v>505</v>
      </c>
      <c r="E122" s="116" t="s">
        <v>619</v>
      </c>
      <c r="F122" s="116" t="s">
        <v>1019</v>
      </c>
      <c r="G122" s="116" t="s">
        <v>1499</v>
      </c>
      <c r="H122" s="116" t="s">
        <v>1940</v>
      </c>
      <c r="I122" s="116" t="s">
        <v>2187</v>
      </c>
      <c r="L122" s="116"/>
    </row>
    <row r="123" spans="1:12" ht="29" x14ac:dyDescent="0.35">
      <c r="A123" s="4">
        <f t="shared" si="6"/>
        <v>120</v>
      </c>
      <c r="B123" s="116" t="str">
        <f t="shared" si="4"/>
        <v>Bedienelemente im Aufzug in behindertengerechter Höhe?
•  Ja = 1, andere = 0</v>
      </c>
      <c r="C123" s="4">
        <f t="shared" si="5"/>
        <v>120</v>
      </c>
      <c r="D123" s="116" t="s">
        <v>498</v>
      </c>
      <c r="E123" s="116" t="s">
        <v>703</v>
      </c>
      <c r="F123" s="116" t="s">
        <v>1020</v>
      </c>
      <c r="G123" s="116" t="s">
        <v>1644</v>
      </c>
      <c r="H123" s="116" t="s">
        <v>1941</v>
      </c>
      <c r="I123" s="116" t="s">
        <v>2188</v>
      </c>
      <c r="L123" s="116"/>
    </row>
    <row r="124" spans="1:12" x14ac:dyDescent="0.35">
      <c r="A124" s="4">
        <f t="shared" si="6"/>
        <v>121</v>
      </c>
      <c r="B124" s="116" t="str">
        <f t="shared" si="4"/>
        <v>Verbindungstüren zu den Parkebenen</v>
      </c>
      <c r="C124" s="4">
        <f t="shared" si="5"/>
        <v>121</v>
      </c>
      <c r="D124" s="116" t="s">
        <v>499</v>
      </c>
      <c r="E124" s="116" t="s">
        <v>620</v>
      </c>
      <c r="F124" s="116" t="s">
        <v>1021</v>
      </c>
      <c r="G124" s="116" t="s">
        <v>1500</v>
      </c>
      <c r="H124" s="116" t="s">
        <v>1942</v>
      </c>
      <c r="I124" s="116" t="s">
        <v>2316</v>
      </c>
      <c r="L124" s="116"/>
    </row>
    <row r="125" spans="1:12" x14ac:dyDescent="0.35">
      <c r="A125" s="4">
        <f t="shared" si="6"/>
        <v>122</v>
      </c>
      <c r="B125" s="116" t="str">
        <f t="shared" si="4"/>
        <v>Lichte Breite (&lt;90 cm =0, &gt;=90 cm = 2)</v>
      </c>
      <c r="C125" s="4">
        <f t="shared" si="5"/>
        <v>122</v>
      </c>
      <c r="D125" s="116" t="s">
        <v>504</v>
      </c>
      <c r="E125" s="116" t="s">
        <v>666</v>
      </c>
      <c r="F125" s="116" t="s">
        <v>1022</v>
      </c>
      <c r="G125" s="116" t="s">
        <v>1501</v>
      </c>
      <c r="H125" s="116" t="s">
        <v>1943</v>
      </c>
      <c r="I125" s="116" t="s">
        <v>2189</v>
      </c>
      <c r="L125" s="116"/>
    </row>
    <row r="126" spans="1:12" ht="29" x14ac:dyDescent="0.35">
      <c r="A126" s="4">
        <f t="shared" si="6"/>
        <v>123</v>
      </c>
      <c r="B126" s="116" t="str">
        <f t="shared" si="4"/>
        <v>Fluchttüren, standardmässig offen (ja=2, nein= 0)</v>
      </c>
      <c r="C126" s="4">
        <f t="shared" si="5"/>
        <v>123</v>
      </c>
      <c r="D126" s="116" t="s">
        <v>248</v>
      </c>
      <c r="E126" s="116" t="s">
        <v>621</v>
      </c>
      <c r="F126" s="116" t="s">
        <v>1023</v>
      </c>
      <c r="G126" s="116" t="s">
        <v>1502</v>
      </c>
      <c r="H126" s="116" t="s">
        <v>1944</v>
      </c>
      <c r="I126" s="116" t="s">
        <v>2317</v>
      </c>
      <c r="L126" s="116"/>
    </row>
    <row r="127" spans="1:12" ht="29" x14ac:dyDescent="0.35">
      <c r="A127" s="4">
        <f t="shared" si="6"/>
        <v>124</v>
      </c>
      <c r="B127" s="116" t="str">
        <f t="shared" si="4"/>
        <v>Sichtbeziehung (verglaste Türen/Wände = 3, kein Glas = 0)</v>
      </c>
      <c r="C127" s="4">
        <f t="shared" si="5"/>
        <v>124</v>
      </c>
      <c r="D127" s="116" t="s">
        <v>249</v>
      </c>
      <c r="E127" s="116" t="s">
        <v>704</v>
      </c>
      <c r="F127" s="116" t="s">
        <v>1024</v>
      </c>
      <c r="G127" s="116" t="s">
        <v>1503</v>
      </c>
      <c r="H127" s="116" t="s">
        <v>1945</v>
      </c>
      <c r="I127" s="116" t="s">
        <v>2318</v>
      </c>
      <c r="L127" s="116"/>
    </row>
    <row r="128" spans="1:12" ht="29" x14ac:dyDescent="0.35">
      <c r="A128" s="4">
        <f t="shared" si="6"/>
        <v>125</v>
      </c>
      <c r="B128" s="116" t="str">
        <f t="shared" si="4"/>
        <v>Sind Aufzüge die wichtigste Geschoßverbindung? (Treppen nur zweitrangig oder zur Entfluchtung)</v>
      </c>
      <c r="C128" s="4">
        <f t="shared" si="5"/>
        <v>125</v>
      </c>
      <c r="D128" s="116" t="s">
        <v>502</v>
      </c>
      <c r="E128" s="116" t="s">
        <v>622</v>
      </c>
      <c r="F128" s="116" t="s">
        <v>1025</v>
      </c>
      <c r="G128" s="116" t="s">
        <v>1504</v>
      </c>
      <c r="H128" s="116" t="s">
        <v>1946</v>
      </c>
      <c r="I128" s="116" t="s">
        <v>2190</v>
      </c>
      <c r="L128" s="116"/>
    </row>
    <row r="129" spans="1:12" x14ac:dyDescent="0.35">
      <c r="A129" s="4">
        <f t="shared" si="6"/>
        <v>126</v>
      </c>
      <c r="B129" s="118" t="str">
        <f t="shared" si="4"/>
        <v>Treppenhäuser (Übersichtlichkeit und Orientierung)</v>
      </c>
      <c r="C129" s="4">
        <f t="shared" si="5"/>
        <v>126</v>
      </c>
      <c r="D129" s="118" t="s">
        <v>500</v>
      </c>
      <c r="E129" s="118" t="s">
        <v>623</v>
      </c>
      <c r="F129" s="118" t="s">
        <v>1026</v>
      </c>
      <c r="G129" s="118" t="s">
        <v>1505</v>
      </c>
      <c r="H129" s="118" t="s">
        <v>1947</v>
      </c>
      <c r="I129" s="167" t="s">
        <v>2319</v>
      </c>
      <c r="L129" s="118"/>
    </row>
    <row r="130" spans="1:12" ht="25" x14ac:dyDescent="0.35">
      <c r="A130" s="4">
        <f t="shared" si="6"/>
        <v>127</v>
      </c>
      <c r="B130" s="119" t="str">
        <f t="shared" si="4"/>
        <v>Übersichtlich  (ja= 1, nein = 0, unzutreffend = 1)</v>
      </c>
      <c r="C130" s="4">
        <f t="shared" si="5"/>
        <v>127</v>
      </c>
      <c r="D130" s="119" t="s">
        <v>212</v>
      </c>
      <c r="E130" s="119" t="s">
        <v>705</v>
      </c>
      <c r="F130" s="119" t="s">
        <v>1027</v>
      </c>
      <c r="G130" s="119" t="s">
        <v>1506</v>
      </c>
      <c r="H130" s="119" t="s">
        <v>1948</v>
      </c>
      <c r="I130" s="171" t="s">
        <v>2191</v>
      </c>
      <c r="L130" s="119"/>
    </row>
    <row r="131" spans="1:12" ht="28" x14ac:dyDescent="0.35">
      <c r="A131" s="4">
        <f t="shared" si="6"/>
        <v>128</v>
      </c>
      <c r="B131" s="120" t="str">
        <f t="shared" si="4"/>
        <v>Geschoßkennzeichnung (ja = 1, nein = 0, unzutreffend = 1)</v>
      </c>
      <c r="C131" s="4">
        <f t="shared" si="5"/>
        <v>128</v>
      </c>
      <c r="D131" s="120" t="s">
        <v>501</v>
      </c>
      <c r="E131" s="120" t="s">
        <v>706</v>
      </c>
      <c r="F131" s="120" t="s">
        <v>1028</v>
      </c>
      <c r="G131" s="120" t="s">
        <v>1507</v>
      </c>
      <c r="H131" s="120" t="s">
        <v>1949</v>
      </c>
      <c r="I131" s="172" t="s">
        <v>2320</v>
      </c>
      <c r="L131" s="120"/>
    </row>
    <row r="132" spans="1:12" x14ac:dyDescent="0.35">
      <c r="A132" s="4">
        <f t="shared" si="6"/>
        <v>129</v>
      </c>
      <c r="B132" s="118" t="str">
        <f t="shared" ref="B132:B195" si="7">IF(ISBLANK(VLOOKUP(A132,$C$4:$V$9989,1+$A$1)),D132,VLOOKUP(A132,$C$4:$V$9989,1+$A$1))</f>
        <v>Treppen (einschließlich verbesserte Sichtbarkeit von Stufen)</v>
      </c>
      <c r="C132" s="4">
        <f t="shared" si="5"/>
        <v>129</v>
      </c>
      <c r="D132" s="118" t="s">
        <v>1305</v>
      </c>
      <c r="E132" s="118" t="s">
        <v>624</v>
      </c>
      <c r="F132" s="118" t="s">
        <v>1029</v>
      </c>
      <c r="G132" s="118" t="s">
        <v>1508</v>
      </c>
      <c r="H132" s="118" t="s">
        <v>1950</v>
      </c>
      <c r="I132" s="167" t="s">
        <v>2192</v>
      </c>
      <c r="L132" s="118"/>
    </row>
    <row r="133" spans="1:12" x14ac:dyDescent="0.35">
      <c r="A133" s="4">
        <f t="shared" si="6"/>
        <v>130</v>
      </c>
      <c r="B133" s="121" t="str">
        <f t="shared" si="7"/>
        <v>Breite (&lt; 1.5 m = 0, &gt; 1.5m = 2)</v>
      </c>
      <c r="C133" s="4">
        <f t="shared" si="5"/>
        <v>130</v>
      </c>
      <c r="D133" s="121" t="s">
        <v>253</v>
      </c>
      <c r="E133" s="121" t="s">
        <v>625</v>
      </c>
      <c r="F133" s="121" t="s">
        <v>1030</v>
      </c>
      <c r="G133" s="121" t="s">
        <v>1509</v>
      </c>
      <c r="H133" s="121" t="s">
        <v>1951</v>
      </c>
      <c r="I133" s="173" t="s">
        <v>2193</v>
      </c>
      <c r="L133" s="121"/>
    </row>
    <row r="134" spans="1:12" ht="25" x14ac:dyDescent="0.35">
      <c r="A134" s="4">
        <f t="shared" si="6"/>
        <v>131</v>
      </c>
      <c r="B134" s="121" t="str">
        <f t="shared" si="7"/>
        <v>Handläufe (Kein Handlauf = 0, einseitig = 1, beidseitig = 2)</v>
      </c>
      <c r="C134" s="4">
        <f t="shared" si="5"/>
        <v>131</v>
      </c>
      <c r="D134" s="121" t="s">
        <v>254</v>
      </c>
      <c r="E134" s="121" t="s">
        <v>707</v>
      </c>
      <c r="F134" s="121" t="s">
        <v>1031</v>
      </c>
      <c r="G134" s="121" t="s">
        <v>1510</v>
      </c>
      <c r="H134" s="121" t="s">
        <v>1952</v>
      </c>
      <c r="I134" s="173" t="s">
        <v>2194</v>
      </c>
      <c r="L134" s="121"/>
    </row>
    <row r="135" spans="1:12" ht="25" x14ac:dyDescent="0.35">
      <c r="A135" s="4">
        <f t="shared" si="6"/>
        <v>132</v>
      </c>
      <c r="B135" s="121" t="str">
        <f t="shared" si="7"/>
        <v>Verbesserte Sichtbarkeit von Stufen für Personen mit eingeschränkter Sehstärke (ja = 2, nein = 0)</v>
      </c>
      <c r="C135" s="4">
        <f t="shared" si="5"/>
        <v>132</v>
      </c>
      <c r="D135" s="121" t="s">
        <v>255</v>
      </c>
      <c r="E135" s="121" t="s">
        <v>708</v>
      </c>
      <c r="F135" s="121" t="s">
        <v>1032</v>
      </c>
      <c r="G135" s="121" t="s">
        <v>1511</v>
      </c>
      <c r="H135" s="121" t="s">
        <v>1953</v>
      </c>
      <c r="I135" s="173" t="s">
        <v>2195</v>
      </c>
      <c r="L135" s="121"/>
    </row>
    <row r="136" spans="1:12" ht="25" x14ac:dyDescent="0.35">
      <c r="A136" s="4">
        <f t="shared" si="6"/>
        <v>133</v>
      </c>
      <c r="B136" s="121" t="str">
        <f t="shared" si="7"/>
        <v>Rutschfester Belag auf den Stufen (ja = 2, nein = 0)</v>
      </c>
      <c r="C136" s="4">
        <f t="shared" si="5"/>
        <v>133</v>
      </c>
      <c r="D136" s="121" t="s">
        <v>256</v>
      </c>
      <c r="E136" s="121" t="s">
        <v>709</v>
      </c>
      <c r="F136" s="121" t="s">
        <v>1033</v>
      </c>
      <c r="G136" s="121" t="s">
        <v>1512</v>
      </c>
      <c r="H136" s="121" t="s">
        <v>1954</v>
      </c>
      <c r="I136" s="173" t="s">
        <v>2196</v>
      </c>
      <c r="L136" s="121"/>
    </row>
    <row r="137" spans="1:12" ht="37.5" x14ac:dyDescent="0.35">
      <c r="A137" s="4">
        <f t="shared" si="6"/>
        <v>134</v>
      </c>
      <c r="B137" s="118" t="str">
        <f t="shared" si="7"/>
        <v>Öffnungen in Treppenhauswänden
(Fenster oder vergitterte Öffnungen ins Freie oder zu den Parkebenen = 2, keine Öffnungen = 0)</v>
      </c>
      <c r="C137" s="4">
        <f t="shared" ref="C137:C200" si="8">C136+1</f>
        <v>134</v>
      </c>
      <c r="D137" s="118" t="s">
        <v>437</v>
      </c>
      <c r="E137" s="118" t="s">
        <v>710</v>
      </c>
      <c r="F137" s="118" t="s">
        <v>1036</v>
      </c>
      <c r="G137" s="118" t="s">
        <v>1645</v>
      </c>
      <c r="H137" s="118" t="s">
        <v>1955</v>
      </c>
      <c r="I137" s="167" t="s">
        <v>2321</v>
      </c>
      <c r="L137" s="118"/>
    </row>
    <row r="138" spans="1:12" x14ac:dyDescent="0.35">
      <c r="A138" s="4">
        <f t="shared" si="6"/>
        <v>135</v>
      </c>
      <c r="B138" s="116" t="str">
        <f t="shared" si="7"/>
        <v>Sicherheitseinrichtungen</v>
      </c>
      <c r="C138" s="4">
        <f t="shared" si="8"/>
        <v>135</v>
      </c>
      <c r="D138" s="116" t="s">
        <v>182</v>
      </c>
      <c r="E138" s="116" t="s">
        <v>626</v>
      </c>
      <c r="F138" s="116" t="s">
        <v>1034</v>
      </c>
      <c r="G138" s="116" t="s">
        <v>1513</v>
      </c>
      <c r="H138" s="116" t="s">
        <v>1956</v>
      </c>
      <c r="I138" s="116" t="s">
        <v>2197</v>
      </c>
      <c r="L138" s="116"/>
    </row>
    <row r="139" spans="1:12" x14ac:dyDescent="0.35">
      <c r="A139" s="4">
        <f t="shared" si="6"/>
        <v>136</v>
      </c>
      <c r="B139" s="116" t="str">
        <f t="shared" si="7"/>
        <v>Positionsliste</v>
      </c>
      <c r="C139" s="4">
        <f t="shared" si="8"/>
        <v>136</v>
      </c>
      <c r="D139" s="116" t="s">
        <v>276</v>
      </c>
      <c r="E139" s="116" t="s">
        <v>614</v>
      </c>
      <c r="F139" s="116" t="s">
        <v>1003</v>
      </c>
      <c r="G139" s="116" t="s">
        <v>1489</v>
      </c>
      <c r="H139" s="116" t="s">
        <v>1924</v>
      </c>
      <c r="I139" s="116" t="s">
        <v>2198</v>
      </c>
      <c r="L139" s="116"/>
    </row>
    <row r="140" spans="1:12" ht="29" x14ac:dyDescent="0.35">
      <c r="A140" s="4">
        <f t="shared" si="6"/>
        <v>137</v>
      </c>
      <c r="B140" s="116" t="str">
        <f t="shared" si="7"/>
        <v>Videoüberwachung mit Ankündigung am Eingang = 3, Keine Videoüberwachung = 0</v>
      </c>
      <c r="C140" s="4">
        <f t="shared" si="8"/>
        <v>137</v>
      </c>
      <c r="D140" s="116" t="s">
        <v>93</v>
      </c>
      <c r="E140" s="116" t="s">
        <v>711</v>
      </c>
      <c r="F140" s="116" t="s">
        <v>1035</v>
      </c>
      <c r="G140" s="116" t="s">
        <v>1514</v>
      </c>
      <c r="H140" s="116" t="s">
        <v>1957</v>
      </c>
      <c r="I140" s="116" t="s">
        <v>2199</v>
      </c>
      <c r="L140" s="116"/>
    </row>
    <row r="141" spans="1:12" ht="29" x14ac:dyDescent="0.35">
      <c r="A141" s="4">
        <f t="shared" si="6"/>
        <v>138</v>
      </c>
      <c r="B141" s="116" t="str">
        <f t="shared" si="7"/>
        <v>Überwachung durch Personal (vor Ort oder durch Fernüberwachung)
•  ja = 5, nein = 0</v>
      </c>
      <c r="C141" s="4">
        <f t="shared" si="8"/>
        <v>138</v>
      </c>
      <c r="D141" s="116" t="s">
        <v>309</v>
      </c>
      <c r="E141" s="116" t="s">
        <v>712</v>
      </c>
      <c r="F141" s="116" t="s">
        <v>1037</v>
      </c>
      <c r="G141" s="116" t="s">
        <v>1646</v>
      </c>
      <c r="H141" s="116" t="s">
        <v>1958</v>
      </c>
      <c r="I141" s="116" t="s">
        <v>2322</v>
      </c>
      <c r="L141" s="116"/>
    </row>
    <row r="142" spans="1:12" x14ac:dyDescent="0.35">
      <c r="A142" s="4">
        <f t="shared" si="6"/>
        <v>139</v>
      </c>
      <c r="B142" s="116" t="str">
        <f t="shared" si="7"/>
        <v>Videoüberwachung an besonderen Stellen</v>
      </c>
      <c r="C142" s="4">
        <f t="shared" si="8"/>
        <v>139</v>
      </c>
      <c r="D142" s="116" t="s">
        <v>290</v>
      </c>
      <c r="E142" s="116" t="s">
        <v>627</v>
      </c>
      <c r="F142" s="116" t="s">
        <v>961</v>
      </c>
      <c r="G142" s="116" t="s">
        <v>1515</v>
      </c>
      <c r="H142" s="116" t="s">
        <v>1959</v>
      </c>
      <c r="I142" s="116" t="s">
        <v>2200</v>
      </c>
      <c r="L142" s="116"/>
    </row>
    <row r="143" spans="1:12" x14ac:dyDescent="0.35">
      <c r="A143" s="4">
        <f t="shared" si="6"/>
        <v>140</v>
      </c>
      <c r="B143" s="116" t="str">
        <f t="shared" si="7"/>
        <v>Einfahrt: ja = 1, nein = 0</v>
      </c>
      <c r="C143" s="4">
        <f t="shared" si="8"/>
        <v>140</v>
      </c>
      <c r="D143" s="116" t="s">
        <v>282</v>
      </c>
      <c r="E143" s="116" t="s">
        <v>628</v>
      </c>
      <c r="F143" s="116" t="s">
        <v>1038</v>
      </c>
      <c r="G143" s="116" t="s">
        <v>1516</v>
      </c>
      <c r="H143" s="116" t="s">
        <v>1960</v>
      </c>
      <c r="I143" s="116" t="s">
        <v>2323</v>
      </c>
      <c r="L143" s="116"/>
    </row>
    <row r="144" spans="1:12" x14ac:dyDescent="0.35">
      <c r="A144" s="4">
        <f t="shared" si="6"/>
        <v>141</v>
      </c>
      <c r="B144" s="116" t="str">
        <f t="shared" si="7"/>
        <v>Ausfahrt: ja = 1, nein = 0</v>
      </c>
      <c r="C144" s="4">
        <f t="shared" si="8"/>
        <v>141</v>
      </c>
      <c r="D144" s="116" t="s">
        <v>283</v>
      </c>
      <c r="E144" s="116" t="s">
        <v>629</v>
      </c>
      <c r="F144" s="116" t="s">
        <v>1039</v>
      </c>
      <c r="G144" s="116" t="s">
        <v>1517</v>
      </c>
      <c r="H144" s="116" t="s">
        <v>1961</v>
      </c>
      <c r="I144" s="116" t="s">
        <v>2324</v>
      </c>
      <c r="L144" s="116"/>
    </row>
    <row r="145" spans="1:12" x14ac:dyDescent="0.35">
      <c r="A145" s="4">
        <f t="shared" si="6"/>
        <v>142</v>
      </c>
      <c r="B145" s="116" t="str">
        <f t="shared" si="7"/>
        <v>Kassenautomat: ja = 1, nein = 0</v>
      </c>
      <c r="C145" s="4">
        <f t="shared" si="8"/>
        <v>142</v>
      </c>
      <c r="D145" s="116" t="s">
        <v>284</v>
      </c>
      <c r="E145" s="116" t="s">
        <v>630</v>
      </c>
      <c r="F145" s="116" t="s">
        <v>1040</v>
      </c>
      <c r="G145" s="116" t="s">
        <v>1518</v>
      </c>
      <c r="H145" s="116" t="s">
        <v>1962</v>
      </c>
      <c r="I145" s="116" t="s">
        <v>2201</v>
      </c>
      <c r="L145" s="116"/>
    </row>
    <row r="146" spans="1:12" x14ac:dyDescent="0.35">
      <c r="A146" s="4">
        <f t="shared" si="6"/>
        <v>143</v>
      </c>
      <c r="B146" s="116" t="str">
        <f t="shared" si="7"/>
        <v>Aufzugvorraum, in allen Geschossen: ja = 1, nein = 0</v>
      </c>
      <c r="C146" s="4">
        <f t="shared" si="8"/>
        <v>143</v>
      </c>
      <c r="D146" s="116" t="s">
        <v>285</v>
      </c>
      <c r="E146" s="116" t="s">
        <v>631</v>
      </c>
      <c r="F146" s="116" t="s">
        <v>1041</v>
      </c>
      <c r="G146" s="116" t="s">
        <v>1519</v>
      </c>
      <c r="H146" s="116" t="s">
        <v>1963</v>
      </c>
      <c r="I146" s="116" t="s">
        <v>2202</v>
      </c>
      <c r="L146" s="116"/>
    </row>
    <row r="147" spans="1:12" x14ac:dyDescent="0.35">
      <c r="A147" s="4">
        <f t="shared" si="6"/>
        <v>144</v>
      </c>
      <c r="B147" s="116" t="str">
        <f t="shared" si="7"/>
        <v>Treppenhäuser, in allen Geschossen: ja = 1, nein = 0</v>
      </c>
      <c r="C147" s="4">
        <f t="shared" si="8"/>
        <v>144</v>
      </c>
      <c r="D147" s="116" t="s">
        <v>286</v>
      </c>
      <c r="E147" s="116" t="s">
        <v>632</v>
      </c>
      <c r="F147" s="116" t="s">
        <v>1042</v>
      </c>
      <c r="G147" s="116" t="s">
        <v>1520</v>
      </c>
      <c r="H147" s="116" t="s">
        <v>1964</v>
      </c>
      <c r="I147" s="116" t="s">
        <v>2203</v>
      </c>
      <c r="L147" s="116"/>
    </row>
    <row r="148" spans="1:12" x14ac:dyDescent="0.35">
      <c r="A148" s="4">
        <f t="shared" si="6"/>
        <v>145</v>
      </c>
      <c r="B148" s="116" t="str">
        <f t="shared" si="7"/>
        <v>Fußgängereingang: ja = 1, nein = 0</v>
      </c>
      <c r="C148" s="4">
        <f t="shared" si="8"/>
        <v>145</v>
      </c>
      <c r="D148" s="116" t="s">
        <v>287</v>
      </c>
      <c r="E148" s="116" t="s">
        <v>633</v>
      </c>
      <c r="F148" s="116" t="s">
        <v>1043</v>
      </c>
      <c r="G148" s="116" t="s">
        <v>1521</v>
      </c>
      <c r="H148" s="116" t="s">
        <v>1965</v>
      </c>
      <c r="I148" s="116" t="s">
        <v>2204</v>
      </c>
      <c r="L148" s="116"/>
    </row>
    <row r="149" spans="1:12" x14ac:dyDescent="0.35">
      <c r="A149" s="4">
        <f t="shared" si="6"/>
        <v>146</v>
      </c>
      <c r="B149" s="116" t="str">
        <f t="shared" si="7"/>
        <v>Überwiegender Teil der Parkebenen (65%): ja = 3, nein = 0</v>
      </c>
      <c r="C149" s="4">
        <f t="shared" si="8"/>
        <v>146</v>
      </c>
      <c r="D149" s="116" t="s">
        <v>288</v>
      </c>
      <c r="E149" s="116" t="s">
        <v>634</v>
      </c>
      <c r="F149" s="116" t="s">
        <v>1044</v>
      </c>
      <c r="G149" s="116" t="s">
        <v>1522</v>
      </c>
      <c r="H149" s="116" t="s">
        <v>1966</v>
      </c>
      <c r="I149" s="116" t="s">
        <v>2205</v>
      </c>
      <c r="L149" s="116"/>
    </row>
    <row r="150" spans="1:12" x14ac:dyDescent="0.35">
      <c r="A150" s="4">
        <f t="shared" si="6"/>
        <v>147</v>
      </c>
      <c r="B150" s="116" t="str">
        <f t="shared" si="7"/>
        <v>Rampen: ja = 1, nein = 0</v>
      </c>
      <c r="C150" s="4">
        <f t="shared" si="8"/>
        <v>147</v>
      </c>
      <c r="D150" s="116" t="s">
        <v>289</v>
      </c>
      <c r="E150" s="116" t="s">
        <v>635</v>
      </c>
      <c r="F150" s="116" t="s">
        <v>1045</v>
      </c>
      <c r="G150" s="116" t="s">
        <v>1523</v>
      </c>
      <c r="H150" s="116" t="s">
        <v>1967</v>
      </c>
      <c r="I150" s="116" t="s">
        <v>2326</v>
      </c>
      <c r="L150" s="116"/>
    </row>
    <row r="151" spans="1:12" x14ac:dyDescent="0.35">
      <c r="A151" s="4">
        <f t="shared" si="6"/>
        <v>148</v>
      </c>
      <c r="B151" s="116" t="str">
        <f t="shared" si="7"/>
        <v>Personal kontaktierbar durch:</v>
      </c>
      <c r="C151" s="4">
        <f t="shared" si="8"/>
        <v>148</v>
      </c>
      <c r="D151" s="116" t="s">
        <v>292</v>
      </c>
      <c r="E151" s="116" t="s">
        <v>636</v>
      </c>
      <c r="F151" s="116" t="s">
        <v>1046</v>
      </c>
      <c r="G151" s="116" t="s">
        <v>1524</v>
      </c>
      <c r="H151" s="116" t="s">
        <v>1968</v>
      </c>
      <c r="I151" s="116" t="s">
        <v>2206</v>
      </c>
      <c r="L151" s="116"/>
    </row>
    <row r="152" spans="1:12" ht="58" x14ac:dyDescent="0.35">
      <c r="A152" s="4">
        <f t="shared" si="6"/>
        <v>149</v>
      </c>
      <c r="B152" s="116" t="str">
        <f t="shared" si="7"/>
        <v>Sprechstellen an den Kassenautomaten und/oder an den kontrollierten Zugängen (24h/7=3, während der Öffnungszeiten wenn nicht 24h/24 = 2, zeitweise oder gar nicht = 0)</v>
      </c>
      <c r="C152" s="4">
        <f t="shared" si="8"/>
        <v>149</v>
      </c>
      <c r="D152" s="116" t="s">
        <v>291</v>
      </c>
      <c r="E152" s="116" t="s">
        <v>713</v>
      </c>
      <c r="F152" s="116" t="s">
        <v>1047</v>
      </c>
      <c r="G152" s="116" t="s">
        <v>1525</v>
      </c>
      <c r="H152" s="116" t="s">
        <v>1969</v>
      </c>
      <c r="I152" s="116" t="s">
        <v>2207</v>
      </c>
      <c r="L152" s="116"/>
    </row>
    <row r="153" spans="1:12" ht="58" x14ac:dyDescent="0.35">
      <c r="A153" s="4">
        <f t="shared" si="6"/>
        <v>150</v>
      </c>
      <c r="B153" s="116" t="str">
        <f t="shared" si="7"/>
        <v>Notrufmelder in den Parkebenen (24/7 = 3, während der Öffnungszeiten wenn nicht 24/7 = 2, zeitweise oder gar nicht = 0)</v>
      </c>
      <c r="C153" s="4">
        <f t="shared" si="8"/>
        <v>150</v>
      </c>
      <c r="D153" s="116" t="s">
        <v>293</v>
      </c>
      <c r="E153" s="116" t="s">
        <v>714</v>
      </c>
      <c r="F153" s="116" t="s">
        <v>1048</v>
      </c>
      <c r="G153" s="116" t="s">
        <v>1526</v>
      </c>
      <c r="H153" s="116" t="s">
        <v>1970</v>
      </c>
      <c r="I153" s="116" t="s">
        <v>2327</v>
      </c>
      <c r="L153" s="116"/>
    </row>
    <row r="154" spans="1:12" ht="72.5" x14ac:dyDescent="0.35">
      <c r="A154" s="4">
        <f t="shared" si="6"/>
        <v>151</v>
      </c>
      <c r="B154" s="116" t="str">
        <f t="shared" si="7"/>
        <v>Patroullierendes Parkhauspersonal anwesend
(24/7 = 3, während der Öffnungszeiten wenn nicht 24/7 = 1, gar nicht = 0)</v>
      </c>
      <c r="C154" s="4">
        <f t="shared" si="8"/>
        <v>151</v>
      </c>
      <c r="D154" s="116" t="s">
        <v>299</v>
      </c>
      <c r="E154" s="116" t="s">
        <v>715</v>
      </c>
      <c r="F154" s="116" t="s">
        <v>1049</v>
      </c>
      <c r="G154" s="116" t="s">
        <v>1647</v>
      </c>
      <c r="H154" s="116" t="s">
        <v>1971</v>
      </c>
      <c r="I154" s="116" t="s">
        <v>2208</v>
      </c>
      <c r="L154" s="116"/>
    </row>
    <row r="155" spans="1:12" ht="72.5" x14ac:dyDescent="0.35">
      <c r="A155" s="4">
        <f t="shared" si="6"/>
        <v>152</v>
      </c>
      <c r="B155" s="116" t="str">
        <f t="shared" si="7"/>
        <v xml:space="preserve">Verschließbare Ein-/Ausfahrten: 
(geschlossene Tore oder Rollgitter außerhalb der Öffnungszeiten = 2, Schnellauftore während der Öffnungszeiten = 4, langsam laufende Tore während der Öffnungszeiten = 2, keine Sicherung = 0)
</v>
      </c>
      <c r="C155" s="4">
        <f t="shared" si="8"/>
        <v>152</v>
      </c>
      <c r="D155" s="116" t="s">
        <v>304</v>
      </c>
      <c r="E155" s="116" t="s">
        <v>716</v>
      </c>
      <c r="F155" s="116" t="s">
        <v>1050</v>
      </c>
      <c r="G155" s="116" t="s">
        <v>1648</v>
      </c>
      <c r="H155" s="116" t="s">
        <v>1972</v>
      </c>
      <c r="I155" s="116" t="s">
        <v>2209</v>
      </c>
      <c r="L155" s="116"/>
    </row>
    <row r="156" spans="1:12" ht="72.5" x14ac:dyDescent="0.35">
      <c r="A156" s="4">
        <f t="shared" si="6"/>
        <v>153</v>
      </c>
      <c r="B156" s="116" t="str">
        <f t="shared" si="7"/>
        <v>Verschließbare Ein-/Ausgänge außerhalb der Öffnungszeiten: 
(Türen, Tore oder Rollgitter mit Öffnungen &lt;= 15 cm = 2, &gt; 15 cm = 0, keine Sicherung = 0, unzutreffend (24 Stunden Öffnungszeit) = 2)</v>
      </c>
      <c r="C156" s="4">
        <f t="shared" si="8"/>
        <v>153</v>
      </c>
      <c r="D156" s="116" t="s">
        <v>514</v>
      </c>
      <c r="E156" s="116" t="s">
        <v>717</v>
      </c>
      <c r="F156" s="116" t="s">
        <v>1051</v>
      </c>
      <c r="G156" s="116" t="s">
        <v>1649</v>
      </c>
      <c r="H156" s="116" t="s">
        <v>1973</v>
      </c>
      <c r="I156" s="116" t="s">
        <v>2210</v>
      </c>
      <c r="L156" s="116"/>
    </row>
    <row r="157" spans="1:12" ht="43.5" x14ac:dyDescent="0.35">
      <c r="A157" s="4">
        <f t="shared" si="6"/>
        <v>154</v>
      </c>
      <c r="B157" s="116" t="str">
        <f t="shared" si="7"/>
        <v>Vergitterung von Öffnungen nach außen
(&lt;= 15 cm = 2, &gt; 15 cm oder kein Schutz= 0, unzutreffend (keine Öffnungen) = 2)</v>
      </c>
      <c r="C157" s="4">
        <f t="shared" si="8"/>
        <v>154</v>
      </c>
      <c r="D157" s="116" t="s">
        <v>310</v>
      </c>
      <c r="E157" s="116" t="s">
        <v>718</v>
      </c>
      <c r="F157" s="116" t="s">
        <v>1052</v>
      </c>
      <c r="G157" s="116" t="s">
        <v>1650</v>
      </c>
      <c r="H157" s="116" t="s">
        <v>1974</v>
      </c>
      <c r="I157" s="116" t="s">
        <v>2211</v>
      </c>
      <c r="L157" s="116"/>
    </row>
    <row r="158" spans="1:12" x14ac:dyDescent="0.35">
      <c r="A158" s="4">
        <f t="shared" si="6"/>
        <v>155</v>
      </c>
      <c r="B158" s="116" t="str">
        <f t="shared" si="7"/>
        <v>Wegweisung innerhalb und außerhalb des Parkhauses</v>
      </c>
      <c r="C158" s="4">
        <f t="shared" si="8"/>
        <v>155</v>
      </c>
      <c r="D158" s="116" t="s">
        <v>438</v>
      </c>
      <c r="E158" s="116" t="s">
        <v>637</v>
      </c>
      <c r="F158" s="116" t="s">
        <v>1053</v>
      </c>
      <c r="G158" s="116" t="s">
        <v>1527</v>
      </c>
      <c r="H158" s="116" t="s">
        <v>1975</v>
      </c>
      <c r="I158" s="116" t="s">
        <v>2331</v>
      </c>
      <c r="L158" s="116"/>
    </row>
    <row r="159" spans="1:12" x14ac:dyDescent="0.35">
      <c r="A159" s="4">
        <f t="shared" si="6"/>
        <v>156</v>
      </c>
      <c r="B159" s="116" t="str">
        <f t="shared" si="7"/>
        <v>Positionsliste</v>
      </c>
      <c r="C159" s="4">
        <f t="shared" si="8"/>
        <v>156</v>
      </c>
      <c r="D159" s="116" t="s">
        <v>276</v>
      </c>
      <c r="E159" s="116" t="s">
        <v>614</v>
      </c>
      <c r="F159" s="116" t="s">
        <v>1003</v>
      </c>
      <c r="G159" s="116" t="s">
        <v>1489</v>
      </c>
      <c r="H159" s="116" t="s">
        <v>1924</v>
      </c>
      <c r="I159" s="116" t="s">
        <v>2198</v>
      </c>
      <c r="L159" s="116"/>
    </row>
    <row r="160" spans="1:12" x14ac:dyDescent="0.35">
      <c r="A160" s="4">
        <f t="shared" si="6"/>
        <v>157</v>
      </c>
      <c r="B160" s="118" t="str">
        <f t="shared" si="7"/>
        <v>Anzeige von freien Stellplätzen</v>
      </c>
      <c r="C160" s="4">
        <f t="shared" si="8"/>
        <v>157</v>
      </c>
      <c r="D160" s="118" t="s">
        <v>1306</v>
      </c>
      <c r="E160" s="118" t="s">
        <v>638</v>
      </c>
      <c r="F160" s="118" t="s">
        <v>1054</v>
      </c>
      <c r="G160" s="118" t="s">
        <v>1528</v>
      </c>
      <c r="H160" s="118" t="s">
        <v>1976</v>
      </c>
      <c r="I160" s="167" t="s">
        <v>2212</v>
      </c>
      <c r="L160" s="118"/>
    </row>
    <row r="161" spans="1:12" ht="25" x14ac:dyDescent="0.35">
      <c r="A161" s="4">
        <f t="shared" si="6"/>
        <v>158</v>
      </c>
      <c r="B161" s="121" t="str">
        <f t="shared" si="7"/>
        <v>Etagenweise (ja/gut = 2, nein/schlecht= 0)</v>
      </c>
      <c r="C161" s="4">
        <f t="shared" si="8"/>
        <v>158</v>
      </c>
      <c r="D161" s="121" t="s">
        <v>314</v>
      </c>
      <c r="E161" s="121" t="s">
        <v>719</v>
      </c>
      <c r="F161" s="121" t="s">
        <v>1055</v>
      </c>
      <c r="G161" s="121" t="s">
        <v>1529</v>
      </c>
      <c r="H161" s="121" t="s">
        <v>1977</v>
      </c>
      <c r="I161" s="173" t="s">
        <v>2213</v>
      </c>
      <c r="L161" s="121"/>
    </row>
    <row r="162" spans="1:12" ht="25" x14ac:dyDescent="0.35">
      <c r="A162" s="4">
        <f t="shared" si="6"/>
        <v>159</v>
      </c>
      <c r="B162" s="121" t="str">
        <f t="shared" si="7"/>
        <v>Gassenweise (ja/gut = 1, nein/schlecht= 0)</v>
      </c>
      <c r="C162" s="4">
        <f t="shared" si="8"/>
        <v>159</v>
      </c>
      <c r="D162" s="121" t="s">
        <v>315</v>
      </c>
      <c r="E162" s="121" t="s">
        <v>720</v>
      </c>
      <c r="F162" s="121" t="s">
        <v>1056</v>
      </c>
      <c r="G162" s="121" t="s">
        <v>1530</v>
      </c>
      <c r="H162" s="121" t="s">
        <v>1978</v>
      </c>
      <c r="I162" s="173" t="s">
        <v>2328</v>
      </c>
      <c r="L162" s="121"/>
    </row>
    <row r="163" spans="1:12" ht="25" x14ac:dyDescent="0.35">
      <c r="A163" s="4">
        <f t="shared" si="6"/>
        <v>160</v>
      </c>
      <c r="B163" s="121" t="str">
        <f t="shared" si="7"/>
        <v>Platzweise (ja/gut = 2, nein/schlecht= 0)</v>
      </c>
      <c r="C163" s="4">
        <f t="shared" si="8"/>
        <v>160</v>
      </c>
      <c r="D163" s="121" t="s">
        <v>316</v>
      </c>
      <c r="E163" s="121" t="s">
        <v>721</v>
      </c>
      <c r="F163" s="121" t="s">
        <v>1057</v>
      </c>
      <c r="G163" s="121" t="s">
        <v>1531</v>
      </c>
      <c r="H163" s="121" t="s">
        <v>1979</v>
      </c>
      <c r="I163" s="174" t="s">
        <v>2329</v>
      </c>
      <c r="L163" s="121"/>
    </row>
    <row r="164" spans="1:12" x14ac:dyDescent="0.35">
      <c r="A164" s="4">
        <f t="shared" si="6"/>
        <v>161</v>
      </c>
      <c r="B164" s="118" t="str">
        <f t="shared" si="7"/>
        <v>Wegweisung für den fahrenden Verkehr</v>
      </c>
      <c r="C164" s="4">
        <f t="shared" si="8"/>
        <v>161</v>
      </c>
      <c r="D164" s="118" t="s">
        <v>321</v>
      </c>
      <c r="E164" s="118" t="s">
        <v>639</v>
      </c>
      <c r="F164" s="118" t="s">
        <v>1058</v>
      </c>
      <c r="G164" s="118" t="s">
        <v>1532</v>
      </c>
      <c r="H164" s="118" t="s">
        <v>1980</v>
      </c>
      <c r="I164" s="167" t="s">
        <v>2330</v>
      </c>
      <c r="L164" s="118"/>
    </row>
    <row r="165" spans="1:12" ht="25" x14ac:dyDescent="0.35">
      <c r="A165" s="4">
        <f t="shared" si="6"/>
        <v>162</v>
      </c>
      <c r="B165" s="119" t="str">
        <f t="shared" si="7"/>
        <v>Sind die Etagen für den Fahrer klar und deutlich gekennzeichnet? (gut =3, befriedigend =2, schlecht =1, gar nicht =0)</v>
      </c>
      <c r="C165" s="4">
        <f t="shared" si="8"/>
        <v>162</v>
      </c>
      <c r="D165" s="119" t="s">
        <v>322</v>
      </c>
      <c r="E165" s="119" t="s">
        <v>722</v>
      </c>
      <c r="F165" s="119" t="s">
        <v>1059</v>
      </c>
      <c r="G165" s="119" t="s">
        <v>1533</v>
      </c>
      <c r="H165" s="119" t="s">
        <v>1981</v>
      </c>
      <c r="I165" s="171" t="s">
        <v>2214</v>
      </c>
      <c r="L165" s="119"/>
    </row>
    <row r="166" spans="1:12" ht="25" x14ac:dyDescent="0.35">
      <c r="A166" s="4">
        <f t="shared" si="6"/>
        <v>163</v>
      </c>
      <c r="B166" s="119" t="str">
        <f t="shared" si="7"/>
        <v>Sind einzelne Bereiche für den Fahrer klar und deutlich gekennzeichnet? (gut =3, befriedigend =2, schlecht =1, gar nicht =0)</v>
      </c>
      <c r="C166" s="4">
        <f t="shared" si="8"/>
        <v>163</v>
      </c>
      <c r="D166" s="119" t="s">
        <v>323</v>
      </c>
      <c r="E166" s="119" t="s">
        <v>723</v>
      </c>
      <c r="F166" s="119" t="s">
        <v>1060</v>
      </c>
      <c r="G166" s="119" t="s">
        <v>1534</v>
      </c>
      <c r="H166" s="119" t="s">
        <v>1982</v>
      </c>
      <c r="I166" s="171" t="s">
        <v>2215</v>
      </c>
      <c r="L166" s="119"/>
    </row>
    <row r="167" spans="1:12" ht="75" x14ac:dyDescent="0.35">
      <c r="A167" s="4">
        <f t="shared" si="6"/>
        <v>164</v>
      </c>
      <c r="B167" s="118" t="str">
        <f t="shared" si="7"/>
        <v>Sind die Notausgänge und Rettungswege klar und deutlich gekennzeichnet?
(an allen Standorten = 3, an den meisten Standorten = 2, nur an einigen Standorten = 1, keine Kennzeichnung der Rettungswege = 0)</v>
      </c>
      <c r="C167" s="4">
        <f t="shared" si="8"/>
        <v>164</v>
      </c>
      <c r="D167" s="118" t="s">
        <v>1777</v>
      </c>
      <c r="E167" s="118" t="s">
        <v>1778</v>
      </c>
      <c r="F167" s="118" t="s">
        <v>1779</v>
      </c>
      <c r="G167" s="118" t="s">
        <v>1780</v>
      </c>
      <c r="H167" s="118" t="s">
        <v>1983</v>
      </c>
      <c r="I167" s="167" t="s">
        <v>2216</v>
      </c>
      <c r="L167" s="118"/>
    </row>
    <row r="168" spans="1:12" ht="50" x14ac:dyDescent="0.35">
      <c r="A168" s="4">
        <f t="shared" si="6"/>
        <v>165</v>
      </c>
      <c r="B168" s="118" t="str">
        <f t="shared" si="7"/>
        <v>Sind die einzelnen Parkebenen klar und deutlich gekennzeichnet?
(gut = 3, befriedigend = 2, schlecht = 1, gar nicht = 0., unzutreffend, da nur 1 Geschoss = 3)</v>
      </c>
      <c r="C168" s="4">
        <f t="shared" si="8"/>
        <v>165</v>
      </c>
      <c r="D168" s="118" t="s">
        <v>1781</v>
      </c>
      <c r="E168" s="118" t="s">
        <v>1782</v>
      </c>
      <c r="F168" s="118" t="s">
        <v>1783</v>
      </c>
      <c r="G168" s="118" t="s">
        <v>1784</v>
      </c>
      <c r="H168" s="118" t="s">
        <v>1984</v>
      </c>
      <c r="I168" s="167" t="s">
        <v>2217</v>
      </c>
      <c r="L168" s="118"/>
    </row>
    <row r="169" spans="1:12" ht="37.5" x14ac:dyDescent="0.35">
      <c r="A169" s="4">
        <f t="shared" si="6"/>
        <v>166</v>
      </c>
      <c r="B169" s="118" t="str">
        <f t="shared" si="7"/>
        <v>Gibt es zusätzliche Schilder oder Anzeigen zur Verbesserung der Orientierung der Fußgänger?
(gut = 2, einige = 1, keine = 0)</v>
      </c>
      <c r="C169" s="4">
        <f t="shared" si="8"/>
        <v>166</v>
      </c>
      <c r="D169" s="118" t="s">
        <v>331</v>
      </c>
      <c r="E169" s="118" t="s">
        <v>724</v>
      </c>
      <c r="F169" s="118" t="s">
        <v>1061</v>
      </c>
      <c r="G169" s="118" t="s">
        <v>1651</v>
      </c>
      <c r="H169" s="118" t="s">
        <v>1985</v>
      </c>
      <c r="I169" s="167" t="s">
        <v>2218</v>
      </c>
      <c r="L169" s="118"/>
    </row>
    <row r="170" spans="1:12" ht="50" x14ac:dyDescent="0.35">
      <c r="A170" s="4">
        <f t="shared" si="6"/>
        <v>167</v>
      </c>
      <c r="B170" s="118" t="str">
        <f t="shared" si="7"/>
        <v>Sind die Stellplätze einzeln nummeriert?
(nummeriert mit Geschoßbezeichnung = 2, nur nummeriert = 1, nicht = 0)</v>
      </c>
      <c r="C170" s="4">
        <f t="shared" si="8"/>
        <v>167</v>
      </c>
      <c r="D170" s="118" t="s">
        <v>332</v>
      </c>
      <c r="E170" s="118" t="s">
        <v>725</v>
      </c>
      <c r="F170" s="118" t="s">
        <v>1062</v>
      </c>
      <c r="G170" s="118" t="s">
        <v>1652</v>
      </c>
      <c r="H170" s="118" t="s">
        <v>1986</v>
      </c>
      <c r="I170" s="167" t="s">
        <v>2219</v>
      </c>
      <c r="L170" s="118"/>
    </row>
    <row r="171" spans="1:12" ht="25" x14ac:dyDescent="0.35">
      <c r="A171" s="4">
        <f t="shared" si="6"/>
        <v>168</v>
      </c>
      <c r="B171" s="118" t="str">
        <f t="shared" si="7"/>
        <v>Verwendung von Farben zur Orientierung
(ja = 1, nein = 0)</v>
      </c>
      <c r="C171" s="4">
        <f t="shared" si="8"/>
        <v>168</v>
      </c>
      <c r="D171" s="118" t="s">
        <v>336</v>
      </c>
      <c r="E171" s="118" t="s">
        <v>726</v>
      </c>
      <c r="F171" s="118" t="s">
        <v>1063</v>
      </c>
      <c r="G171" s="118" t="s">
        <v>1653</v>
      </c>
      <c r="H171" s="118" t="s">
        <v>1987</v>
      </c>
      <c r="I171" s="167" t="s">
        <v>2220</v>
      </c>
      <c r="L171" s="118"/>
    </row>
    <row r="172" spans="1:12" ht="25" x14ac:dyDescent="0.35">
      <c r="A172" s="4">
        <f t="shared" si="6"/>
        <v>169</v>
      </c>
      <c r="B172" s="118" t="str">
        <f t="shared" si="7"/>
        <v>Parkleitsystem</v>
      </c>
      <c r="C172" s="4">
        <f t="shared" si="8"/>
        <v>169</v>
      </c>
      <c r="D172" s="118" t="s">
        <v>337</v>
      </c>
      <c r="E172" s="118" t="s">
        <v>640</v>
      </c>
      <c r="F172" s="118" t="s">
        <v>1064</v>
      </c>
      <c r="G172" s="118" t="s">
        <v>1535</v>
      </c>
      <c r="H172" s="118" t="s">
        <v>1988</v>
      </c>
      <c r="I172" s="168" t="s">
        <v>2332</v>
      </c>
      <c r="L172" s="118"/>
    </row>
    <row r="173" spans="1:12" ht="25" x14ac:dyDescent="0.35">
      <c r="A173" s="4">
        <f t="shared" si="6"/>
        <v>170</v>
      </c>
      <c r="B173" s="119" t="str">
        <f t="shared" si="7"/>
        <v>Statisch (ja = 1, nein = 0)</v>
      </c>
      <c r="C173" s="4">
        <f t="shared" si="8"/>
        <v>170</v>
      </c>
      <c r="D173" s="119" t="s">
        <v>338</v>
      </c>
      <c r="E173" s="119" t="s">
        <v>727</v>
      </c>
      <c r="F173" s="119" t="s">
        <v>1065</v>
      </c>
      <c r="G173" s="119" t="s">
        <v>1536</v>
      </c>
      <c r="H173" s="119" t="s">
        <v>1989</v>
      </c>
      <c r="I173" s="169" t="s">
        <v>2221</v>
      </c>
      <c r="L173" s="119"/>
    </row>
    <row r="174" spans="1:12" ht="25" x14ac:dyDescent="0.35">
      <c r="A174" s="4">
        <f t="shared" si="6"/>
        <v>171</v>
      </c>
      <c r="B174" s="119" t="str">
        <f t="shared" si="7"/>
        <v>Dynamisch (ja = 1, nein = 0)</v>
      </c>
      <c r="C174" s="4">
        <f t="shared" si="8"/>
        <v>171</v>
      </c>
      <c r="D174" s="119" t="s">
        <v>339</v>
      </c>
      <c r="E174" s="119" t="s">
        <v>728</v>
      </c>
      <c r="F174" s="119" t="s">
        <v>1066</v>
      </c>
      <c r="G174" s="119" t="s">
        <v>1537</v>
      </c>
      <c r="H174" s="119" t="s">
        <v>1990</v>
      </c>
      <c r="I174" s="169" t="s">
        <v>2222</v>
      </c>
      <c r="L174" s="119"/>
    </row>
    <row r="175" spans="1:12" x14ac:dyDescent="0.35">
      <c r="A175" s="4">
        <f t="shared" si="6"/>
        <v>172</v>
      </c>
      <c r="B175" s="118" t="str">
        <f t="shared" si="7"/>
        <v>Beleuchtete Anzeige an der Einfahrt</v>
      </c>
      <c r="C175" s="4">
        <f t="shared" si="8"/>
        <v>172</v>
      </c>
      <c r="D175" s="118" t="s">
        <v>340</v>
      </c>
      <c r="E175" s="118" t="s">
        <v>641</v>
      </c>
      <c r="F175" s="118" t="s">
        <v>1067</v>
      </c>
      <c r="G175" s="118" t="s">
        <v>1538</v>
      </c>
      <c r="H175" s="118" t="s">
        <v>1991</v>
      </c>
      <c r="I175" s="167" t="s">
        <v>2223</v>
      </c>
      <c r="L175" s="118"/>
    </row>
    <row r="176" spans="1:12" ht="25" x14ac:dyDescent="0.35">
      <c r="A176" s="4">
        <f t="shared" si="6"/>
        <v>173</v>
      </c>
      <c r="B176" s="121" t="str">
        <f t="shared" si="7"/>
        <v>Grüner Pfeil/rotes Kreuz-Anzeige (ja = 1, nein = 0)</v>
      </c>
      <c r="C176" s="4">
        <f t="shared" si="8"/>
        <v>173</v>
      </c>
      <c r="D176" s="121" t="s">
        <v>341</v>
      </c>
      <c r="E176" s="121" t="s">
        <v>729</v>
      </c>
      <c r="F176" s="121" t="s">
        <v>1068</v>
      </c>
      <c r="G176" s="121" t="s">
        <v>1539</v>
      </c>
      <c r="H176" s="121" t="s">
        <v>1992</v>
      </c>
      <c r="I176" s="175" t="s">
        <v>2224</v>
      </c>
      <c r="L176" s="121"/>
    </row>
    <row r="177" spans="1:12" ht="25" x14ac:dyDescent="0.35">
      <c r="A177" s="4">
        <f t="shared" si="6"/>
        <v>174</v>
      </c>
      <c r="B177" s="121" t="str">
        <f t="shared" si="7"/>
        <v>Frei/Besetzt-Anzeige (ja = 1, nein = 0)</v>
      </c>
      <c r="C177" s="4">
        <f t="shared" si="8"/>
        <v>174</v>
      </c>
      <c r="D177" s="121" t="s">
        <v>342</v>
      </c>
      <c r="E177" s="121" t="s">
        <v>730</v>
      </c>
      <c r="F177" s="121" t="s">
        <v>1069</v>
      </c>
      <c r="G177" s="121" t="s">
        <v>1540</v>
      </c>
      <c r="H177" s="121" t="s">
        <v>1993</v>
      </c>
      <c r="I177" s="173" t="s">
        <v>2225</v>
      </c>
      <c r="L177" s="121"/>
    </row>
    <row r="178" spans="1:12" ht="25" x14ac:dyDescent="0.35">
      <c r="A178" s="4">
        <f t="shared" si="6"/>
        <v>175</v>
      </c>
      <c r="B178" s="121" t="str">
        <f t="shared" si="7"/>
        <v>Anzeige an den Fußgängerzugängen (ja = 1, nein = 0)</v>
      </c>
      <c r="C178" s="4">
        <f t="shared" si="8"/>
        <v>175</v>
      </c>
      <c r="D178" s="121" t="s">
        <v>343</v>
      </c>
      <c r="E178" s="121" t="s">
        <v>731</v>
      </c>
      <c r="F178" s="121" t="s">
        <v>1070</v>
      </c>
      <c r="G178" s="121" t="s">
        <v>1541</v>
      </c>
      <c r="H178" s="121" t="s">
        <v>1994</v>
      </c>
      <c r="I178" s="173" t="s">
        <v>2226</v>
      </c>
      <c r="L178" s="121"/>
    </row>
    <row r="179" spans="1:12" x14ac:dyDescent="0.35">
      <c r="A179" s="4">
        <f t="shared" si="6"/>
        <v>176</v>
      </c>
      <c r="B179" s="122" t="str">
        <f t="shared" si="7"/>
        <v>Komfort und verschiedenes</v>
      </c>
      <c r="C179" s="4">
        <f t="shared" si="8"/>
        <v>176</v>
      </c>
      <c r="D179" s="122" t="s">
        <v>2535</v>
      </c>
      <c r="E179" s="122" t="s">
        <v>642</v>
      </c>
      <c r="F179" s="122" t="s">
        <v>1071</v>
      </c>
      <c r="G179" s="122" t="s">
        <v>1542</v>
      </c>
      <c r="H179" s="122" t="s">
        <v>1995</v>
      </c>
      <c r="I179" s="176" t="s">
        <v>2227</v>
      </c>
      <c r="L179" s="122"/>
    </row>
    <row r="180" spans="1:12" x14ac:dyDescent="0.35">
      <c r="A180" s="4">
        <f t="shared" si="6"/>
        <v>177</v>
      </c>
      <c r="B180" s="118" t="str">
        <f t="shared" si="7"/>
        <v>Hinweisschild an den Fußgängerzugängen bezüglich :</v>
      </c>
      <c r="C180" s="4">
        <f t="shared" si="8"/>
        <v>177</v>
      </c>
      <c r="D180" s="118" t="s">
        <v>1307</v>
      </c>
      <c r="E180" s="118" t="s">
        <v>643</v>
      </c>
      <c r="F180" s="118" t="s">
        <v>1072</v>
      </c>
      <c r="G180" s="118" t="s">
        <v>1543</v>
      </c>
      <c r="H180" s="118" t="s">
        <v>1996</v>
      </c>
      <c r="I180" s="167" t="s">
        <v>2228</v>
      </c>
      <c r="L180" s="118"/>
    </row>
    <row r="181" spans="1:12" ht="25" x14ac:dyDescent="0.35">
      <c r="A181" s="4">
        <f t="shared" si="6"/>
        <v>178</v>
      </c>
      <c r="B181" s="121" t="str">
        <f t="shared" si="7"/>
        <v>Öffnungszeiten übliche/besondere (ja = 1, nein = 0)</v>
      </c>
      <c r="C181" s="4">
        <f t="shared" si="8"/>
        <v>178</v>
      </c>
      <c r="D181" s="121" t="s">
        <v>344</v>
      </c>
      <c r="E181" s="121" t="s">
        <v>732</v>
      </c>
      <c r="F181" s="121" t="s">
        <v>1073</v>
      </c>
      <c r="G181" s="121" t="s">
        <v>1544</v>
      </c>
      <c r="H181" s="121" t="s">
        <v>1997</v>
      </c>
      <c r="I181" s="175" t="s">
        <v>2229</v>
      </c>
      <c r="L181" s="121"/>
    </row>
    <row r="182" spans="1:12" ht="25" x14ac:dyDescent="0.35">
      <c r="A182" s="4">
        <f t="shared" si="6"/>
        <v>179</v>
      </c>
      <c r="B182" s="121" t="str">
        <f t="shared" si="7"/>
        <v>Lesbare und verständliche Anzeige der Parktarife (ja = 1, nein = 0)</v>
      </c>
      <c r="C182" s="4">
        <f t="shared" si="8"/>
        <v>179</v>
      </c>
      <c r="D182" s="121" t="s">
        <v>345</v>
      </c>
      <c r="E182" s="121" t="s">
        <v>733</v>
      </c>
      <c r="F182" s="121" t="s">
        <v>1074</v>
      </c>
      <c r="G182" s="121" t="s">
        <v>1545</v>
      </c>
      <c r="H182" s="121" t="s">
        <v>1998</v>
      </c>
      <c r="I182" s="173" t="s">
        <v>2230</v>
      </c>
      <c r="L182" s="121"/>
    </row>
    <row r="183" spans="1:12" ht="25" x14ac:dyDescent="0.35">
      <c r="A183" s="4">
        <f t="shared" si="6"/>
        <v>180</v>
      </c>
      <c r="B183" s="121" t="str">
        <f t="shared" si="7"/>
        <v>Einstellbedingungen (ja = 1, nein = 0)</v>
      </c>
      <c r="C183" s="4">
        <f t="shared" si="8"/>
        <v>180</v>
      </c>
      <c r="D183" s="121" t="s">
        <v>346</v>
      </c>
      <c r="E183" s="121" t="s">
        <v>734</v>
      </c>
      <c r="F183" s="121" t="s">
        <v>1075</v>
      </c>
      <c r="G183" s="121" t="s">
        <v>1546</v>
      </c>
      <c r="H183" s="121" t="s">
        <v>1999</v>
      </c>
      <c r="I183" s="173" t="s">
        <v>2333</v>
      </c>
      <c r="L183" s="121"/>
    </row>
    <row r="184" spans="1:12" ht="25" x14ac:dyDescent="0.35">
      <c r="A184" s="4">
        <f t="shared" ref="A184:A247" si="9">C184</f>
        <v>181</v>
      </c>
      <c r="B184" s="118" t="str">
        <f t="shared" si="7"/>
        <v>Bezahlmöglichkeiten (Zahlung am Ein-/Ausgang/am Kassenautomat):</v>
      </c>
      <c r="C184" s="4">
        <f t="shared" si="8"/>
        <v>181</v>
      </c>
      <c r="D184" s="118" t="s">
        <v>347</v>
      </c>
      <c r="E184" s="118" t="s">
        <v>644</v>
      </c>
      <c r="F184" s="118" t="s">
        <v>1076</v>
      </c>
      <c r="G184" s="118" t="s">
        <v>1547</v>
      </c>
      <c r="H184" s="118" t="s">
        <v>2000</v>
      </c>
      <c r="I184" s="167" t="s">
        <v>2231</v>
      </c>
      <c r="L184" s="118"/>
    </row>
    <row r="185" spans="1:12" x14ac:dyDescent="0.35">
      <c r="A185" s="4">
        <f t="shared" si="9"/>
        <v>182</v>
      </c>
      <c r="B185" s="121" t="str">
        <f t="shared" si="7"/>
        <v>Münzzahlung? (ja = 1, nein = 0)</v>
      </c>
      <c r="C185" s="4">
        <f t="shared" si="8"/>
        <v>182</v>
      </c>
      <c r="D185" s="121" t="s">
        <v>348</v>
      </c>
      <c r="E185" s="121" t="s">
        <v>667</v>
      </c>
      <c r="F185" s="121" t="s">
        <v>1077</v>
      </c>
      <c r="G185" s="121" t="s">
        <v>1548</v>
      </c>
      <c r="H185" s="121" t="s">
        <v>2001</v>
      </c>
      <c r="I185" s="173" t="s">
        <v>2232</v>
      </c>
      <c r="L185" s="121"/>
    </row>
    <row r="186" spans="1:12" x14ac:dyDescent="0.35">
      <c r="A186" s="4">
        <f t="shared" si="9"/>
        <v>183</v>
      </c>
      <c r="B186" s="121" t="str">
        <f t="shared" si="7"/>
        <v>Wechselgeld? (ja = 1, nein = 0)</v>
      </c>
      <c r="C186" s="4">
        <f t="shared" si="8"/>
        <v>183</v>
      </c>
      <c r="D186" s="121" t="s">
        <v>349</v>
      </c>
      <c r="E186" s="121" t="s">
        <v>668</v>
      </c>
      <c r="F186" s="121" t="s">
        <v>1078</v>
      </c>
      <c r="G186" s="121" t="s">
        <v>1549</v>
      </c>
      <c r="H186" s="121" t="s">
        <v>2002</v>
      </c>
      <c r="I186" s="173" t="s">
        <v>2233</v>
      </c>
      <c r="L186" s="121"/>
    </row>
    <row r="187" spans="1:12" x14ac:dyDescent="0.35">
      <c r="A187" s="4">
        <f t="shared" si="9"/>
        <v>184</v>
      </c>
      <c r="B187" s="121" t="str">
        <f t="shared" si="7"/>
        <v>Banknoten?  (ja = 1, nein = 0)</v>
      </c>
      <c r="C187" s="4">
        <f t="shared" si="8"/>
        <v>184</v>
      </c>
      <c r="D187" s="121" t="s">
        <v>351</v>
      </c>
      <c r="E187" s="121" t="s">
        <v>669</v>
      </c>
      <c r="F187" s="121" t="s">
        <v>1079</v>
      </c>
      <c r="G187" s="121" t="s">
        <v>1550</v>
      </c>
      <c r="H187" s="121" t="s">
        <v>2003</v>
      </c>
      <c r="I187" s="173" t="s">
        <v>2234</v>
      </c>
      <c r="L187" s="121"/>
    </row>
    <row r="188" spans="1:12" x14ac:dyDescent="0.35">
      <c r="A188" s="4">
        <f t="shared" si="9"/>
        <v>185</v>
      </c>
      <c r="B188" s="121" t="str">
        <f t="shared" si="7"/>
        <v>Kreditkarten?  (ja = 1, nein = 0)</v>
      </c>
      <c r="C188" s="4">
        <f t="shared" si="8"/>
        <v>185</v>
      </c>
      <c r="D188" s="121" t="s">
        <v>350</v>
      </c>
      <c r="E188" s="121" t="s">
        <v>670</v>
      </c>
      <c r="F188" s="121" t="s">
        <v>1080</v>
      </c>
      <c r="G188" s="121" t="s">
        <v>1551</v>
      </c>
      <c r="H188" s="121" t="s">
        <v>2004</v>
      </c>
      <c r="I188" s="173" t="s">
        <v>2235</v>
      </c>
      <c r="L188" s="121"/>
    </row>
    <row r="189" spans="1:12" x14ac:dyDescent="0.35">
      <c r="A189" s="4">
        <f t="shared" si="9"/>
        <v>186</v>
      </c>
      <c r="B189" s="121" t="str">
        <f t="shared" si="7"/>
        <v>Zahlung per Mobiltelefon? (ja = 1, nein = 0)</v>
      </c>
      <c r="C189" s="4">
        <f t="shared" si="8"/>
        <v>186</v>
      </c>
      <c r="D189" s="121" t="s">
        <v>352</v>
      </c>
      <c r="E189" s="121" t="s">
        <v>671</v>
      </c>
      <c r="F189" s="121" t="s">
        <v>1081</v>
      </c>
      <c r="G189" s="121" t="s">
        <v>1552</v>
      </c>
      <c r="H189" s="121" t="s">
        <v>2005</v>
      </c>
      <c r="I189" s="173" t="s">
        <v>2334</v>
      </c>
      <c r="L189" s="121"/>
    </row>
    <row r="190" spans="1:12" x14ac:dyDescent="0.35">
      <c r="A190" s="4">
        <f t="shared" si="9"/>
        <v>187</v>
      </c>
      <c r="B190" s="121" t="str">
        <f t="shared" si="7"/>
        <v>Karten-/Handyzahlung am Ausgang? (ja = 1, nein = 0)</v>
      </c>
      <c r="C190" s="4">
        <f t="shared" si="8"/>
        <v>187</v>
      </c>
      <c r="D190" s="121" t="s">
        <v>353</v>
      </c>
      <c r="E190" s="121" t="s">
        <v>672</v>
      </c>
      <c r="F190" s="121" t="s">
        <v>1082</v>
      </c>
      <c r="G190" s="121" t="s">
        <v>1553</v>
      </c>
      <c r="H190" s="121" t="s">
        <v>2006</v>
      </c>
      <c r="I190" s="173" t="s">
        <v>2236</v>
      </c>
      <c r="L190" s="121"/>
    </row>
    <row r="191" spans="1:12" ht="25" x14ac:dyDescent="0.35">
      <c r="A191" s="4">
        <f t="shared" si="9"/>
        <v>188</v>
      </c>
      <c r="B191" s="121" t="str">
        <f t="shared" si="7"/>
        <v>Identifikation und Zahlung per Kennzeichenerkennung? (ja = 1, nein = 0)</v>
      </c>
      <c r="C191" s="4">
        <f t="shared" si="8"/>
        <v>188</v>
      </c>
      <c r="D191" s="121" t="s">
        <v>354</v>
      </c>
      <c r="E191" s="121" t="s">
        <v>673</v>
      </c>
      <c r="F191" s="121" t="s">
        <v>1083</v>
      </c>
      <c r="G191" s="121" t="s">
        <v>1554</v>
      </c>
      <c r="H191" s="121" t="s">
        <v>2007</v>
      </c>
      <c r="I191" s="175" t="s">
        <v>2237</v>
      </c>
      <c r="L191" s="121"/>
    </row>
    <row r="192" spans="1:12" ht="25" x14ac:dyDescent="0.35">
      <c r="A192" s="4">
        <f t="shared" si="9"/>
        <v>189</v>
      </c>
      <c r="B192" s="121" t="str">
        <f t="shared" si="7"/>
        <v>Akzeptanz anderer Karten: Wie viele? (1 Punkt je zusätzlicher Option bis 3 Punkte)</v>
      </c>
      <c r="C192" s="4">
        <f t="shared" si="8"/>
        <v>189</v>
      </c>
      <c r="D192" s="121" t="s">
        <v>355</v>
      </c>
      <c r="E192" s="121" t="s">
        <v>735</v>
      </c>
      <c r="F192" s="121" t="s">
        <v>1084</v>
      </c>
      <c r="G192" s="121" t="s">
        <v>1555</v>
      </c>
      <c r="H192" s="121" t="s">
        <v>2008</v>
      </c>
      <c r="I192" s="173" t="s">
        <v>2238</v>
      </c>
      <c r="L192" s="121"/>
    </row>
    <row r="193" spans="1:12" ht="25" x14ac:dyDescent="0.35">
      <c r="A193" s="4">
        <f t="shared" si="9"/>
        <v>190</v>
      </c>
      <c r="B193" s="118" t="str">
        <f t="shared" si="7"/>
        <v>Zahlung an besetzter Kasse: (ja = 1, nein = 0)</v>
      </c>
      <c r="C193" s="4">
        <f t="shared" si="8"/>
        <v>190</v>
      </c>
      <c r="D193" s="118" t="s">
        <v>360</v>
      </c>
      <c r="E193" s="118" t="s">
        <v>1086</v>
      </c>
      <c r="F193" s="118" t="s">
        <v>1085</v>
      </c>
      <c r="G193" s="118" t="s">
        <v>1556</v>
      </c>
      <c r="H193" s="118" t="s">
        <v>2009</v>
      </c>
      <c r="I193" s="167" t="s">
        <v>2239</v>
      </c>
      <c r="L193" s="118"/>
    </row>
    <row r="194" spans="1:12" ht="25" x14ac:dyDescent="0.35">
      <c r="A194" s="4">
        <f t="shared" si="9"/>
        <v>191</v>
      </c>
      <c r="B194" s="118" t="str">
        <f t="shared" si="7"/>
        <v>Handelt es sich um ein Parkhaus ohne Schranken? (mit Parkscheinautomaten)?</v>
      </c>
      <c r="C194" s="4">
        <f t="shared" si="8"/>
        <v>191</v>
      </c>
      <c r="D194" s="118" t="s">
        <v>361</v>
      </c>
      <c r="E194" s="118" t="s">
        <v>645</v>
      </c>
      <c r="F194" s="118" t="s">
        <v>1087</v>
      </c>
      <c r="G194" s="118" t="s">
        <v>1557</v>
      </c>
      <c r="H194" s="118" t="s">
        <v>2010</v>
      </c>
      <c r="I194" s="177" t="s">
        <v>2240</v>
      </c>
      <c r="L194" s="118"/>
    </row>
    <row r="195" spans="1:12" ht="62.5" x14ac:dyDescent="0.35">
      <c r="A195" s="4">
        <f t="shared" si="9"/>
        <v>192</v>
      </c>
      <c r="B195" s="119" t="str">
        <f t="shared" si="7"/>
        <v>Anzahl der Bezahlstationen für beschrankte Parkhäuser:
(eine = 0, mehr als eine = 1, eine an jedem Fußgängerzugang (außer Notausgänge) = 2, eine an jedem Fußgängerzugang = 3)</v>
      </c>
      <c r="C195" s="4">
        <f t="shared" si="8"/>
        <v>192</v>
      </c>
      <c r="D195" s="119" t="s">
        <v>538</v>
      </c>
      <c r="E195" s="119" t="s">
        <v>736</v>
      </c>
      <c r="F195" s="119" t="s">
        <v>1308</v>
      </c>
      <c r="G195" s="119" t="s">
        <v>1654</v>
      </c>
      <c r="H195" s="119" t="s">
        <v>2011</v>
      </c>
      <c r="I195" s="171" t="s">
        <v>2241</v>
      </c>
      <c r="L195" s="119"/>
    </row>
    <row r="196" spans="1:12" ht="50" x14ac:dyDescent="0.35">
      <c r="A196" s="4">
        <f t="shared" si="9"/>
        <v>193</v>
      </c>
      <c r="B196" s="119" t="str">
        <f t="shared" ref="B196:B259" si="10">IF(ISBLANK(VLOOKUP(A196,$C$4:$V$9989,1+$A$1)),D196,VLOOKUP(A196,$C$4:$V$9989,1+$A$1))</f>
        <v>Anzahl der Parkscheinautomaten für unbeschrankte Parkhäuser:
(einer = 0, weniger als einer pro 50 Stellplätze = 1, mehr als einer pro 50 Stellplätze = 3)</v>
      </c>
      <c r="C196" s="4">
        <f t="shared" si="8"/>
        <v>193</v>
      </c>
      <c r="D196" s="119" t="s">
        <v>365</v>
      </c>
      <c r="E196" s="119" t="s">
        <v>737</v>
      </c>
      <c r="F196" s="119" t="s">
        <v>1309</v>
      </c>
      <c r="G196" s="119" t="s">
        <v>1655</v>
      </c>
      <c r="H196" s="119" t="s">
        <v>2012</v>
      </c>
      <c r="I196" s="178" t="s">
        <v>2242</v>
      </c>
      <c r="L196" s="119"/>
    </row>
    <row r="197" spans="1:12" x14ac:dyDescent="0.35">
      <c r="A197" s="4">
        <f t="shared" si="9"/>
        <v>194</v>
      </c>
      <c r="B197" s="118" t="str">
        <f t="shared" si="10"/>
        <v>Öffentliche Toiletten:</v>
      </c>
      <c r="C197" s="4">
        <f t="shared" si="8"/>
        <v>194</v>
      </c>
      <c r="D197" s="118" t="s">
        <v>369</v>
      </c>
      <c r="E197" s="118" t="s">
        <v>646</v>
      </c>
      <c r="F197" s="118" t="s">
        <v>1088</v>
      </c>
      <c r="G197" s="118" t="s">
        <v>1558</v>
      </c>
      <c r="H197" s="118" t="s">
        <v>2013</v>
      </c>
      <c r="I197" s="167" t="s">
        <v>2243</v>
      </c>
      <c r="L197" s="118"/>
    </row>
    <row r="198" spans="1:12" x14ac:dyDescent="0.35">
      <c r="A198" s="4">
        <f t="shared" si="9"/>
        <v>195</v>
      </c>
      <c r="B198" s="121" t="str">
        <f t="shared" si="10"/>
        <v>Vorhanden? (ja = 2, nein = 0)</v>
      </c>
      <c r="C198" s="4">
        <f t="shared" si="8"/>
        <v>195</v>
      </c>
      <c r="D198" s="121" t="s">
        <v>370</v>
      </c>
      <c r="E198" s="121" t="s">
        <v>738</v>
      </c>
      <c r="F198" s="121" t="s">
        <v>1089</v>
      </c>
      <c r="G198" s="121" t="s">
        <v>1559</v>
      </c>
      <c r="H198" s="121" t="s">
        <v>2014</v>
      </c>
      <c r="I198" s="173" t="s">
        <v>2244</v>
      </c>
      <c r="L198" s="121"/>
    </row>
    <row r="199" spans="1:12" ht="25" x14ac:dyDescent="0.35">
      <c r="A199" s="4">
        <f t="shared" si="9"/>
        <v>196</v>
      </c>
      <c r="B199" s="121" t="str">
        <f t="shared" si="10"/>
        <v>Behindertentoilette? (ja = 1, nein = 0)</v>
      </c>
      <c r="C199" s="4">
        <f t="shared" si="8"/>
        <v>196</v>
      </c>
      <c r="D199" s="121" t="s">
        <v>371</v>
      </c>
      <c r="E199" s="121" t="s">
        <v>739</v>
      </c>
      <c r="F199" s="121" t="s">
        <v>1090</v>
      </c>
      <c r="G199" s="121" t="s">
        <v>1560</v>
      </c>
      <c r="H199" s="121" t="s">
        <v>2015</v>
      </c>
      <c r="I199" s="173" t="s">
        <v>2245</v>
      </c>
      <c r="L199" s="121"/>
    </row>
    <row r="200" spans="1:12" x14ac:dyDescent="0.35">
      <c r="A200" s="4">
        <f t="shared" si="9"/>
        <v>197</v>
      </c>
      <c r="B200" s="121" t="str">
        <f t="shared" si="10"/>
        <v>Toiletten unisex= 0, Frauen/Männer getrennt = 1</v>
      </c>
      <c r="C200" s="4">
        <f t="shared" si="8"/>
        <v>197</v>
      </c>
      <c r="D200" s="121" t="s">
        <v>372</v>
      </c>
      <c r="E200" s="121" t="s">
        <v>740</v>
      </c>
      <c r="F200" s="121" t="s">
        <v>1091</v>
      </c>
      <c r="G200" s="121" t="s">
        <v>1561</v>
      </c>
      <c r="H200" s="121" t="s">
        <v>2016</v>
      </c>
      <c r="I200" s="173" t="s">
        <v>2246</v>
      </c>
      <c r="L200" s="121"/>
    </row>
    <row r="201" spans="1:12" ht="25" x14ac:dyDescent="0.35">
      <c r="A201" s="4">
        <f t="shared" si="9"/>
        <v>198</v>
      </c>
      <c r="B201" s="121" t="str">
        <f t="shared" si="10"/>
        <v>Toilettenaufseher(-in): ja = 1, nein = 0</v>
      </c>
      <c r="C201" s="4">
        <f t="shared" ref="C201:C265" si="11">C200+1</f>
        <v>198</v>
      </c>
      <c r="D201" s="121" t="s">
        <v>375</v>
      </c>
      <c r="E201" s="121" t="s">
        <v>741</v>
      </c>
      <c r="F201" s="121" t="s">
        <v>1092</v>
      </c>
      <c r="G201" s="121" t="s">
        <v>1562</v>
      </c>
      <c r="H201" s="121" t="s">
        <v>2017</v>
      </c>
      <c r="I201" s="173" t="s">
        <v>2247</v>
      </c>
      <c r="L201" s="121"/>
    </row>
    <row r="202" spans="1:12" x14ac:dyDescent="0.35">
      <c r="A202" s="4">
        <f t="shared" si="9"/>
        <v>199</v>
      </c>
      <c r="B202" s="118" t="str">
        <f t="shared" si="10"/>
        <v>Verwendung von Farben / Verschönerungen</v>
      </c>
      <c r="C202" s="4">
        <f t="shared" si="11"/>
        <v>199</v>
      </c>
      <c r="D202" s="118" t="s">
        <v>376</v>
      </c>
      <c r="E202" s="118" t="s">
        <v>647</v>
      </c>
      <c r="F202" s="118" t="s">
        <v>1093</v>
      </c>
      <c r="G202" s="118" t="s">
        <v>1563</v>
      </c>
      <c r="H202" s="118" t="s">
        <v>2018</v>
      </c>
      <c r="I202" s="167" t="s">
        <v>2248</v>
      </c>
      <c r="L202" s="118"/>
    </row>
    <row r="203" spans="1:12" x14ac:dyDescent="0.35">
      <c r="A203" s="4">
        <f t="shared" si="9"/>
        <v>200</v>
      </c>
      <c r="B203" s="119" t="str">
        <f t="shared" si="10"/>
        <v>Farbige Stützen = 1, nein, betongrau = 0</v>
      </c>
      <c r="C203" s="4">
        <f t="shared" si="11"/>
        <v>200</v>
      </c>
      <c r="D203" s="119" t="s">
        <v>377</v>
      </c>
      <c r="E203" s="119" t="s">
        <v>648</v>
      </c>
      <c r="F203" s="119" t="s">
        <v>1094</v>
      </c>
      <c r="G203" s="119" t="s">
        <v>1564</v>
      </c>
      <c r="H203" s="119" t="s">
        <v>2019</v>
      </c>
      <c r="I203" s="171" t="s">
        <v>2249</v>
      </c>
      <c r="L203" s="119"/>
    </row>
    <row r="204" spans="1:12" x14ac:dyDescent="0.35">
      <c r="A204" s="4">
        <f t="shared" si="9"/>
        <v>201</v>
      </c>
      <c r="B204" s="119" t="str">
        <f t="shared" si="10"/>
        <v>Farbige Wände = 1, nein, betongrau = 0</v>
      </c>
      <c r="C204" s="4">
        <f t="shared" si="11"/>
        <v>201</v>
      </c>
      <c r="D204" s="119" t="s">
        <v>378</v>
      </c>
      <c r="E204" s="119" t="s">
        <v>649</v>
      </c>
      <c r="F204" s="119" t="s">
        <v>1095</v>
      </c>
      <c r="G204" s="119" t="s">
        <v>1565</v>
      </c>
      <c r="H204" s="119" t="s">
        <v>2020</v>
      </c>
      <c r="I204" s="171" t="s">
        <v>2250</v>
      </c>
      <c r="L204" s="119"/>
    </row>
    <row r="205" spans="1:12" x14ac:dyDescent="0.35">
      <c r="A205" s="4">
        <f t="shared" si="9"/>
        <v>202</v>
      </c>
      <c r="B205" s="118" t="str">
        <f t="shared" si="10"/>
        <v>Besondere verschönernde Elemente:</v>
      </c>
      <c r="C205" s="4">
        <f t="shared" si="11"/>
        <v>202</v>
      </c>
      <c r="D205" s="118" t="s">
        <v>382</v>
      </c>
      <c r="E205" s="118" t="s">
        <v>650</v>
      </c>
      <c r="F205" s="118" t="s">
        <v>1096</v>
      </c>
      <c r="G205" s="118" t="s">
        <v>1566</v>
      </c>
      <c r="H205" s="118" t="s">
        <v>2021</v>
      </c>
      <c r="I205" s="167" t="s">
        <v>2251</v>
      </c>
      <c r="L205" s="118"/>
    </row>
    <row r="206" spans="1:12" x14ac:dyDescent="0.35">
      <c r="A206" s="4">
        <f t="shared" si="9"/>
        <v>203</v>
      </c>
      <c r="B206" s="121" t="str">
        <f t="shared" si="10"/>
        <v>Kunstwerke: (ja = 2, nein = 0)</v>
      </c>
      <c r="C206" s="4">
        <f t="shared" si="11"/>
        <v>203</v>
      </c>
      <c r="D206" s="121" t="s">
        <v>384</v>
      </c>
      <c r="E206" s="121" t="s">
        <v>651</v>
      </c>
      <c r="F206" s="121" t="s">
        <v>1097</v>
      </c>
      <c r="G206" s="121" t="s">
        <v>1567</v>
      </c>
      <c r="H206" s="121" t="s">
        <v>2022</v>
      </c>
      <c r="I206" s="173" t="s">
        <v>2335</v>
      </c>
      <c r="L206" s="121"/>
    </row>
    <row r="207" spans="1:12" x14ac:dyDescent="0.35">
      <c r="A207" s="4">
        <f t="shared" si="9"/>
        <v>204</v>
      </c>
      <c r="B207" s="121" t="str">
        <f t="shared" si="10"/>
        <v>Pflanzen: (ja = 1, nein = 0)</v>
      </c>
      <c r="C207" s="4">
        <f t="shared" si="11"/>
        <v>204</v>
      </c>
      <c r="D207" s="121" t="s">
        <v>383</v>
      </c>
      <c r="E207" s="121" t="s">
        <v>652</v>
      </c>
      <c r="F207" s="121" t="s">
        <v>1098</v>
      </c>
      <c r="G207" s="121" t="s">
        <v>1568</v>
      </c>
      <c r="H207" s="121" t="s">
        <v>2023</v>
      </c>
      <c r="I207" s="173" t="s">
        <v>2252</v>
      </c>
      <c r="L207" s="121"/>
    </row>
    <row r="208" spans="1:12" x14ac:dyDescent="0.35">
      <c r="A208" s="4">
        <f t="shared" si="9"/>
        <v>205</v>
      </c>
      <c r="B208" s="121" t="str">
        <f t="shared" si="10"/>
        <v>Sonstiges: (ja = 1, nein = 0)</v>
      </c>
      <c r="C208" s="4">
        <f t="shared" si="11"/>
        <v>205</v>
      </c>
      <c r="D208" s="121" t="s">
        <v>385</v>
      </c>
      <c r="E208" s="121" t="s">
        <v>653</v>
      </c>
      <c r="F208" s="121" t="s">
        <v>1099</v>
      </c>
      <c r="G208" s="121" t="s">
        <v>1569</v>
      </c>
      <c r="H208" s="121" t="s">
        <v>2024</v>
      </c>
      <c r="I208" s="173" t="s">
        <v>2253</v>
      </c>
      <c r="L208" s="121"/>
    </row>
    <row r="209" spans="1:12" ht="25" x14ac:dyDescent="0.35">
      <c r="A209" s="4">
        <f t="shared" si="9"/>
        <v>206</v>
      </c>
      <c r="B209" s="118" t="str">
        <f t="shared" si="10"/>
        <v>Handyempfang (ja = 2, nein = 0)</v>
      </c>
      <c r="C209" s="4">
        <f t="shared" si="11"/>
        <v>206</v>
      </c>
      <c r="D209" s="118" t="s">
        <v>386</v>
      </c>
      <c r="E209" s="118" t="s">
        <v>742</v>
      </c>
      <c r="F209" s="118" t="s">
        <v>1100</v>
      </c>
      <c r="G209" s="118" t="s">
        <v>1570</v>
      </c>
      <c r="H209" s="118" t="s">
        <v>2025</v>
      </c>
      <c r="I209" s="167" t="s">
        <v>2254</v>
      </c>
      <c r="L209" s="118"/>
    </row>
    <row r="210" spans="1:12" ht="25" x14ac:dyDescent="0.35">
      <c r="A210" s="4">
        <f t="shared" si="9"/>
        <v>207</v>
      </c>
      <c r="B210" s="118" t="str">
        <f t="shared" si="10"/>
        <v>Radioemfang (ja = 1, nein = 0)</v>
      </c>
      <c r="C210" s="4">
        <f t="shared" si="11"/>
        <v>207</v>
      </c>
      <c r="D210" s="118" t="s">
        <v>387</v>
      </c>
      <c r="E210" s="118" t="s">
        <v>743</v>
      </c>
      <c r="F210" s="118" t="s">
        <v>1101</v>
      </c>
      <c r="G210" s="118" t="s">
        <v>1571</v>
      </c>
      <c r="H210" s="118" t="s">
        <v>2026</v>
      </c>
      <c r="I210" s="167" t="s">
        <v>2255</v>
      </c>
      <c r="L210" s="118"/>
    </row>
    <row r="211" spans="1:12" x14ac:dyDescent="0.35">
      <c r="A211" s="4">
        <f t="shared" si="9"/>
        <v>208</v>
      </c>
      <c r="B211" s="118" t="str">
        <f t="shared" si="10"/>
        <v>Musik</v>
      </c>
      <c r="C211" s="4">
        <f t="shared" si="11"/>
        <v>208</v>
      </c>
      <c r="D211" s="118" t="s">
        <v>390</v>
      </c>
      <c r="E211" s="118" t="s">
        <v>654</v>
      </c>
      <c r="F211" s="118" t="s">
        <v>1102</v>
      </c>
      <c r="G211" s="118" t="s">
        <v>1572</v>
      </c>
      <c r="H211" s="118" t="s">
        <v>2027</v>
      </c>
      <c r="I211" s="167" t="s">
        <v>2027</v>
      </c>
      <c r="L211" s="118"/>
    </row>
    <row r="212" spans="1:12" ht="25" x14ac:dyDescent="0.35">
      <c r="A212" s="4">
        <f t="shared" si="9"/>
        <v>209</v>
      </c>
      <c r="B212" s="119" t="str">
        <f t="shared" si="10"/>
        <v>Hintergrundmusik:  ja = 2, nein = 0</v>
      </c>
      <c r="C212" s="4">
        <f t="shared" si="11"/>
        <v>209</v>
      </c>
      <c r="D212" s="119" t="s">
        <v>388</v>
      </c>
      <c r="E212" s="119" t="s">
        <v>744</v>
      </c>
      <c r="F212" s="119" t="s">
        <v>1103</v>
      </c>
      <c r="G212" s="119" t="s">
        <v>1573</v>
      </c>
      <c r="H212" s="119" t="s">
        <v>2028</v>
      </c>
      <c r="I212" s="171" t="s">
        <v>2256</v>
      </c>
      <c r="L212" s="119"/>
    </row>
    <row r="213" spans="1:12" ht="25" x14ac:dyDescent="0.35">
      <c r="A213" s="4">
        <f t="shared" si="9"/>
        <v>210</v>
      </c>
      <c r="B213" s="119" t="str">
        <f t="shared" si="10"/>
        <v>Maßnahmen zur Erleichterung der Orientierung im Parkhaus:  ja = 1, nein = 0</v>
      </c>
      <c r="C213" s="4">
        <f t="shared" si="11"/>
        <v>210</v>
      </c>
      <c r="D213" s="119" t="s">
        <v>389</v>
      </c>
      <c r="E213" s="119" t="s">
        <v>745</v>
      </c>
      <c r="F213" s="119" t="s">
        <v>1104</v>
      </c>
      <c r="G213" s="119" t="s">
        <v>1574</v>
      </c>
      <c r="H213" s="119" t="s">
        <v>2029</v>
      </c>
      <c r="I213" s="179" t="s">
        <v>2336</v>
      </c>
      <c r="L213" s="119"/>
    </row>
    <row r="214" spans="1:12" x14ac:dyDescent="0.35">
      <c r="A214" s="4">
        <f t="shared" si="9"/>
        <v>211</v>
      </c>
      <c r="B214" s="116" t="str">
        <f t="shared" si="10"/>
        <v>Energie und Umwelt</v>
      </c>
      <c r="C214" s="4">
        <f t="shared" si="11"/>
        <v>211</v>
      </c>
      <c r="D214" s="116" t="s">
        <v>184</v>
      </c>
      <c r="E214" s="116" t="s">
        <v>655</v>
      </c>
      <c r="F214" s="116" t="s">
        <v>1105</v>
      </c>
      <c r="G214" s="116" t="s">
        <v>1575</v>
      </c>
      <c r="H214" s="116" t="s">
        <v>2030</v>
      </c>
      <c r="I214" s="116" t="s">
        <v>2257</v>
      </c>
      <c r="L214" s="116"/>
    </row>
    <row r="215" spans="1:12" x14ac:dyDescent="0.35">
      <c r="A215" s="4">
        <f t="shared" si="9"/>
        <v>212</v>
      </c>
      <c r="B215" s="116" t="str">
        <f t="shared" si="10"/>
        <v>Energiesparende Beleuchtung</v>
      </c>
      <c r="C215" s="4">
        <f t="shared" si="11"/>
        <v>212</v>
      </c>
      <c r="D215" s="116" t="s">
        <v>392</v>
      </c>
      <c r="E215" s="116" t="s">
        <v>656</v>
      </c>
      <c r="F215" s="116" t="s">
        <v>1106</v>
      </c>
      <c r="G215" s="116" t="s">
        <v>1576</v>
      </c>
      <c r="H215" s="116" t="s">
        <v>2031</v>
      </c>
      <c r="I215" s="116" t="s">
        <v>2258</v>
      </c>
      <c r="L215" s="116"/>
    </row>
    <row r="216" spans="1:12" x14ac:dyDescent="0.35">
      <c r="A216" s="4">
        <f t="shared" si="9"/>
        <v>213</v>
      </c>
      <c r="B216" s="116" t="str">
        <f t="shared" si="10"/>
        <v>Elektronische Vorschaltgeräte (EVG) (ja = 1, nein = 0)</v>
      </c>
      <c r="C216" s="4">
        <f t="shared" si="11"/>
        <v>213</v>
      </c>
      <c r="D216" s="116" t="s">
        <v>391</v>
      </c>
      <c r="E216" s="116" t="s">
        <v>657</v>
      </c>
      <c r="F216" s="116" t="s">
        <v>1107</v>
      </c>
      <c r="G216" s="116" t="s">
        <v>1577</v>
      </c>
      <c r="H216" s="116" t="s">
        <v>2032</v>
      </c>
      <c r="I216" s="116" t="s">
        <v>2259</v>
      </c>
      <c r="L216" s="116"/>
    </row>
    <row r="217" spans="1:12" x14ac:dyDescent="0.35">
      <c r="A217" s="4">
        <f t="shared" si="9"/>
        <v>214</v>
      </c>
      <c r="B217" s="116" t="str">
        <f t="shared" si="10"/>
        <v>Andere Systeme (ja = 1, nein = 0)</v>
      </c>
      <c r="C217" s="4">
        <f t="shared" si="11"/>
        <v>214</v>
      </c>
      <c r="D217" s="116" t="s">
        <v>1724</v>
      </c>
      <c r="E217" s="116" t="s">
        <v>1725</v>
      </c>
      <c r="F217" s="116" t="s">
        <v>1726</v>
      </c>
      <c r="G217" s="116" t="s">
        <v>1727</v>
      </c>
      <c r="H217" s="116" t="s">
        <v>2033</v>
      </c>
      <c r="I217" s="116" t="s">
        <v>2260</v>
      </c>
      <c r="L217" s="116"/>
    </row>
    <row r="218" spans="1:12" ht="29" x14ac:dyDescent="0.35">
      <c r="A218" s="4">
        <f t="shared" si="9"/>
        <v>215</v>
      </c>
      <c r="B218" s="116" t="str">
        <f t="shared" si="10"/>
        <v>Bewegungsgesteuerte Beleuchtung (ja = 2, nein = 0)</v>
      </c>
      <c r="C218" s="4">
        <f t="shared" si="11"/>
        <v>215</v>
      </c>
      <c r="D218" s="116" t="s">
        <v>1310</v>
      </c>
      <c r="E218" s="116" t="s">
        <v>746</v>
      </c>
      <c r="F218" s="116" t="s">
        <v>1108</v>
      </c>
      <c r="G218" s="116" t="s">
        <v>1578</v>
      </c>
      <c r="H218" s="116" t="s">
        <v>2034</v>
      </c>
      <c r="I218" s="116" t="s">
        <v>2261</v>
      </c>
      <c r="L218" s="116"/>
    </row>
    <row r="219" spans="1:12" ht="58" x14ac:dyDescent="0.35">
      <c r="A219" s="4">
        <f t="shared" si="9"/>
        <v>216</v>
      </c>
      <c r="B219" s="116" t="str">
        <f t="shared" si="10"/>
        <v>Adaptionsstrecke an der Einfahrt.
(ja = 2, nein = 0)</v>
      </c>
      <c r="C219" s="4">
        <f t="shared" si="11"/>
        <v>216</v>
      </c>
      <c r="D219" s="116" t="s">
        <v>1311</v>
      </c>
      <c r="E219" s="116" t="s">
        <v>747</v>
      </c>
      <c r="F219" s="116" t="s">
        <v>1109</v>
      </c>
      <c r="G219" s="116" t="s">
        <v>1656</v>
      </c>
      <c r="H219" s="116" t="s">
        <v>2035</v>
      </c>
      <c r="I219" s="116" t="s">
        <v>2262</v>
      </c>
      <c r="L219" s="116"/>
    </row>
    <row r="220" spans="1:12" ht="58" x14ac:dyDescent="0.35">
      <c r="A220" s="4">
        <f t="shared" si="9"/>
        <v>217</v>
      </c>
      <c r="B220" s="116" t="str">
        <f t="shared" si="10"/>
        <v>An das Tageslicht anpassbare Beleuchtung der Parkebenen (z.B. Dämmerungsschalter)
(ja = 2, nein = 0, unzutreffend (Tiefgarage) = 2)</v>
      </c>
      <c r="C220" s="4">
        <f t="shared" si="11"/>
        <v>217</v>
      </c>
      <c r="D220" s="116" t="s">
        <v>394</v>
      </c>
      <c r="E220" s="116" t="s">
        <v>748</v>
      </c>
      <c r="F220" s="116" t="s">
        <v>1110</v>
      </c>
      <c r="G220" s="116" t="s">
        <v>1657</v>
      </c>
      <c r="H220" s="116" t="s">
        <v>2036</v>
      </c>
      <c r="I220" s="116" t="s">
        <v>2337</v>
      </c>
      <c r="L220" s="116"/>
    </row>
    <row r="221" spans="1:12" ht="29" x14ac:dyDescent="0.35">
      <c r="A221" s="4">
        <f t="shared" si="9"/>
        <v>218</v>
      </c>
      <c r="B221" s="116" t="str">
        <f t="shared" si="10"/>
        <v>Photovoltaik oder andere umweltfreundliche energetische Initiativen (ja = 2, nein = 0)</v>
      </c>
      <c r="C221" s="4">
        <f t="shared" si="11"/>
        <v>218</v>
      </c>
      <c r="D221" s="116" t="s">
        <v>393</v>
      </c>
      <c r="E221" s="116" t="s">
        <v>749</v>
      </c>
      <c r="F221" s="116" t="s">
        <v>1111</v>
      </c>
      <c r="G221" s="116" t="s">
        <v>1579</v>
      </c>
      <c r="H221" s="116" t="s">
        <v>2037</v>
      </c>
      <c r="I221" s="116" t="s">
        <v>2263</v>
      </c>
      <c r="L221" s="116"/>
    </row>
    <row r="222" spans="1:12" ht="29" x14ac:dyDescent="0.35">
      <c r="A222" s="4">
        <f t="shared" si="9"/>
        <v>219</v>
      </c>
      <c r="B222" s="116" t="str">
        <f t="shared" si="10"/>
        <v>Spezielle Behandlung von Schmutzwasser:
•  ja = 2, nein = 0</v>
      </c>
      <c r="C222" s="4">
        <f t="shared" si="11"/>
        <v>219</v>
      </c>
      <c r="D222" s="116" t="s">
        <v>103</v>
      </c>
      <c r="E222" s="116" t="s">
        <v>750</v>
      </c>
      <c r="F222" s="116" t="s">
        <v>1112</v>
      </c>
      <c r="G222" s="116" t="s">
        <v>1658</v>
      </c>
      <c r="H222" s="116" t="s">
        <v>2038</v>
      </c>
      <c r="I222" s="116" t="s">
        <v>2338</v>
      </c>
      <c r="L222" s="116"/>
    </row>
    <row r="223" spans="1:12" ht="43.5" x14ac:dyDescent="0.35">
      <c r="A223" s="4">
        <f t="shared" si="9"/>
        <v>220</v>
      </c>
      <c r="B223" s="116" t="str">
        <f t="shared" si="10"/>
        <v>Verwendung von Regenwasser als Brauchwasser (z.B. zur Reinigung oder Toilettenspülung)
•  ja = 2, nein = 0</v>
      </c>
      <c r="C223" s="4">
        <f t="shared" si="11"/>
        <v>220</v>
      </c>
      <c r="D223" s="116" t="s">
        <v>104</v>
      </c>
      <c r="E223" s="116" t="s">
        <v>751</v>
      </c>
      <c r="F223" s="116" t="s">
        <v>1113</v>
      </c>
      <c r="G223" s="116" t="s">
        <v>1659</v>
      </c>
      <c r="H223" s="116" t="s">
        <v>2039</v>
      </c>
      <c r="I223" s="165" t="s">
        <v>2339</v>
      </c>
      <c r="L223" s="116"/>
    </row>
    <row r="224" spans="1:12" ht="29" x14ac:dyDescent="0.35">
      <c r="A224" s="4">
        <f t="shared" si="9"/>
        <v>221</v>
      </c>
      <c r="B224" s="116" t="str">
        <f t="shared" si="10"/>
        <v>Ladestationen für Elektrofahrzeuge: (ja, mehrere = 2, eine = 1, keine = 0)</v>
      </c>
      <c r="C224" s="4">
        <f t="shared" si="11"/>
        <v>221</v>
      </c>
      <c r="D224" s="116" t="s">
        <v>397</v>
      </c>
      <c r="E224" s="116" t="s">
        <v>752</v>
      </c>
      <c r="F224" s="116" t="s">
        <v>1114</v>
      </c>
      <c r="G224" s="116" t="s">
        <v>1580</v>
      </c>
      <c r="H224" s="116" t="s">
        <v>2040</v>
      </c>
      <c r="I224" s="116" t="s">
        <v>2264</v>
      </c>
      <c r="L224" s="116"/>
    </row>
    <row r="225" spans="1:12" ht="29" x14ac:dyDescent="0.35">
      <c r="A225" s="4">
        <f t="shared" si="9"/>
        <v>222</v>
      </c>
      <c r="B225" s="116" t="str">
        <f t="shared" si="10"/>
        <v>Car Sharing oder ähnliche Angebote
•  ja = 2, nein = 0</v>
      </c>
      <c r="C225" s="4">
        <f t="shared" si="11"/>
        <v>222</v>
      </c>
      <c r="D225" s="116" t="s">
        <v>105</v>
      </c>
      <c r="E225" s="116" t="s">
        <v>753</v>
      </c>
      <c r="F225" s="116" t="s">
        <v>1312</v>
      </c>
      <c r="G225" s="116" t="s">
        <v>1660</v>
      </c>
      <c r="H225" s="116" t="s">
        <v>2041</v>
      </c>
      <c r="I225" s="116" t="s">
        <v>2340</v>
      </c>
      <c r="L225" s="116"/>
    </row>
    <row r="226" spans="1:12" ht="29" x14ac:dyDescent="0.35">
      <c r="A226" s="4">
        <f t="shared" si="9"/>
        <v>223</v>
      </c>
      <c r="B226" s="116" t="str">
        <f t="shared" si="10"/>
        <v>Andere umweltfreundliche Initiativen, z.B. zur CO²-Reduzierung
•  ja = 2, nein = 0</v>
      </c>
      <c r="C226" s="4">
        <f t="shared" si="11"/>
        <v>223</v>
      </c>
      <c r="D226" s="116" t="s">
        <v>106</v>
      </c>
      <c r="E226" s="116" t="s">
        <v>754</v>
      </c>
      <c r="F226" s="116" t="s">
        <v>1115</v>
      </c>
      <c r="G226" s="116" t="s">
        <v>1661</v>
      </c>
      <c r="H226" s="116" t="s">
        <v>2042</v>
      </c>
      <c r="I226" s="116" t="s">
        <v>2265</v>
      </c>
      <c r="L226" s="116"/>
    </row>
    <row r="227" spans="1:12" x14ac:dyDescent="0.35">
      <c r="A227" s="4">
        <f t="shared" si="9"/>
        <v>224</v>
      </c>
      <c r="B227" s="116" t="str">
        <f t="shared" si="10"/>
        <v>Minuspunkte</v>
      </c>
      <c r="C227" s="4">
        <f t="shared" si="11"/>
        <v>224</v>
      </c>
      <c r="D227" s="116" t="s">
        <v>185</v>
      </c>
      <c r="E227" s="116" t="s">
        <v>658</v>
      </c>
      <c r="F227" s="116" t="s">
        <v>1116</v>
      </c>
      <c r="G227" s="116" t="s">
        <v>1581</v>
      </c>
      <c r="H227" s="116" t="s">
        <v>2043</v>
      </c>
      <c r="I227" s="116" t="s">
        <v>2266</v>
      </c>
      <c r="L227" s="116"/>
    </row>
    <row r="228" spans="1:12" x14ac:dyDescent="0.35">
      <c r="A228" s="4">
        <f t="shared" si="9"/>
        <v>225</v>
      </c>
      <c r="B228" s="116" t="str">
        <f t="shared" si="10"/>
        <v>Vorhandensein von Graffiti in den:</v>
      </c>
      <c r="C228" s="4">
        <f t="shared" si="11"/>
        <v>225</v>
      </c>
      <c r="D228" s="116" t="s">
        <v>398</v>
      </c>
      <c r="E228" s="116" t="s">
        <v>659</v>
      </c>
      <c r="F228" s="116" t="s">
        <v>1117</v>
      </c>
      <c r="G228" s="116" t="s">
        <v>1582</v>
      </c>
      <c r="H228" s="116" t="s">
        <v>2044</v>
      </c>
      <c r="I228" s="116" t="s">
        <v>2267</v>
      </c>
      <c r="L228" s="116"/>
    </row>
    <row r="229" spans="1:12" ht="29" x14ac:dyDescent="0.35">
      <c r="A229" s="4">
        <f t="shared" si="9"/>
        <v>226</v>
      </c>
      <c r="B229" s="116" t="str">
        <f t="shared" si="10"/>
        <v>Treppenhäusern (ja = -2, nein = 0)</v>
      </c>
      <c r="C229" s="4">
        <f t="shared" si="11"/>
        <v>226</v>
      </c>
      <c r="D229" s="116" t="s">
        <v>399</v>
      </c>
      <c r="E229" s="116" t="s">
        <v>755</v>
      </c>
      <c r="F229" s="116" t="s">
        <v>1118</v>
      </c>
      <c r="G229" s="116" t="s">
        <v>1583</v>
      </c>
      <c r="H229" s="116" t="s">
        <v>2045</v>
      </c>
      <c r="I229" s="116" t="s">
        <v>2268</v>
      </c>
      <c r="L229" s="116"/>
    </row>
    <row r="230" spans="1:12" ht="29" x14ac:dyDescent="0.35">
      <c r="A230" s="4">
        <f t="shared" si="9"/>
        <v>227</v>
      </c>
      <c r="B230" s="116" t="str">
        <f t="shared" si="10"/>
        <v>Aufzügen (ja = -2, nein = 0)</v>
      </c>
      <c r="C230" s="4">
        <f t="shared" si="11"/>
        <v>227</v>
      </c>
      <c r="D230" s="116" t="s">
        <v>400</v>
      </c>
      <c r="E230" s="116" t="s">
        <v>756</v>
      </c>
      <c r="F230" s="116" t="s">
        <v>1119</v>
      </c>
      <c r="G230" s="116" t="s">
        <v>1584</v>
      </c>
      <c r="H230" s="116" t="s">
        <v>2046</v>
      </c>
      <c r="I230" s="116" t="s">
        <v>2269</v>
      </c>
      <c r="L230" s="116"/>
    </row>
    <row r="231" spans="1:12" ht="29" x14ac:dyDescent="0.35">
      <c r="A231" s="4">
        <f t="shared" si="9"/>
        <v>228</v>
      </c>
      <c r="B231" s="116" t="str">
        <f t="shared" si="10"/>
        <v>Toiletten (ja = -2, nein = 0)</v>
      </c>
      <c r="C231" s="4">
        <f t="shared" si="11"/>
        <v>228</v>
      </c>
      <c r="D231" s="116" t="s">
        <v>401</v>
      </c>
      <c r="E231" s="116" t="s">
        <v>757</v>
      </c>
      <c r="F231" s="116" t="s">
        <v>1120</v>
      </c>
      <c r="G231" s="116" t="s">
        <v>1585</v>
      </c>
      <c r="H231" s="116" t="s">
        <v>2047</v>
      </c>
      <c r="I231" s="116" t="s">
        <v>2270</v>
      </c>
      <c r="L231" s="116"/>
    </row>
    <row r="232" spans="1:12" ht="29" x14ac:dyDescent="0.35">
      <c r="A232" s="4">
        <f t="shared" si="9"/>
        <v>229</v>
      </c>
      <c r="B232" s="116" t="str">
        <f t="shared" si="10"/>
        <v>Parkebenen (ja = -2, nein = 0)</v>
      </c>
      <c r="C232" s="4">
        <f t="shared" si="11"/>
        <v>229</v>
      </c>
      <c r="D232" s="116" t="s">
        <v>402</v>
      </c>
      <c r="E232" s="116" t="s">
        <v>758</v>
      </c>
      <c r="F232" s="116" t="s">
        <v>1121</v>
      </c>
      <c r="G232" s="116" t="s">
        <v>1586</v>
      </c>
      <c r="H232" s="116" t="s">
        <v>2048</v>
      </c>
      <c r="I232" s="116" t="s">
        <v>2271</v>
      </c>
      <c r="L232" s="116"/>
    </row>
    <row r="233" spans="1:12" ht="29" x14ac:dyDescent="0.35">
      <c r="A233" s="4">
        <f t="shared" si="9"/>
        <v>230</v>
      </c>
      <c r="B233" s="116" t="str">
        <f t="shared" si="10"/>
        <v>Außenwände (ja = -2, nein = 0)</v>
      </c>
      <c r="C233" s="4">
        <f t="shared" si="11"/>
        <v>230</v>
      </c>
      <c r="D233" s="116" t="s">
        <v>403</v>
      </c>
      <c r="E233" s="116" t="s">
        <v>759</v>
      </c>
      <c r="F233" s="116" t="s">
        <v>1122</v>
      </c>
      <c r="G233" s="116" t="s">
        <v>1587</v>
      </c>
      <c r="H233" s="116" t="s">
        <v>2049</v>
      </c>
      <c r="I233" s="116" t="s">
        <v>2272</v>
      </c>
      <c r="L233" s="116"/>
    </row>
    <row r="234" spans="1:12" x14ac:dyDescent="0.35">
      <c r="A234" s="4">
        <f t="shared" si="9"/>
        <v>231</v>
      </c>
      <c r="B234" s="116" t="str">
        <f t="shared" si="10"/>
        <v>Vorhandensein von Schmutz in den</v>
      </c>
      <c r="C234" s="4">
        <f t="shared" si="11"/>
        <v>231</v>
      </c>
      <c r="D234" s="116" t="s">
        <v>404</v>
      </c>
      <c r="E234" s="116" t="s">
        <v>660</v>
      </c>
      <c r="F234" s="116" t="s">
        <v>1123</v>
      </c>
      <c r="G234" s="116" t="s">
        <v>1588</v>
      </c>
      <c r="H234" s="116" t="s">
        <v>2050</v>
      </c>
      <c r="I234" s="116" t="s">
        <v>2273</v>
      </c>
      <c r="L234" s="116"/>
    </row>
    <row r="235" spans="1:12" ht="29" x14ac:dyDescent="0.35">
      <c r="A235" s="4">
        <f t="shared" si="9"/>
        <v>232</v>
      </c>
      <c r="B235" s="116" t="str">
        <f t="shared" si="10"/>
        <v>Treppenhäusern (ja = -2, nein = 0)</v>
      </c>
      <c r="C235" s="4">
        <f t="shared" si="11"/>
        <v>232</v>
      </c>
      <c r="D235" s="116" t="s">
        <v>399</v>
      </c>
      <c r="E235" s="116" t="s">
        <v>755</v>
      </c>
      <c r="F235" s="116" t="s">
        <v>1118</v>
      </c>
      <c r="G235" s="116" t="s">
        <v>1583</v>
      </c>
      <c r="H235" s="116" t="s">
        <v>2045</v>
      </c>
      <c r="I235" s="116" t="s">
        <v>2268</v>
      </c>
      <c r="L235" s="116"/>
    </row>
    <row r="236" spans="1:12" ht="29" x14ac:dyDescent="0.35">
      <c r="A236" s="4">
        <f t="shared" si="9"/>
        <v>233</v>
      </c>
      <c r="B236" s="116" t="str">
        <f t="shared" si="10"/>
        <v>Aufzügen (ja = -2, nein = 0)</v>
      </c>
      <c r="C236" s="4">
        <f t="shared" si="11"/>
        <v>233</v>
      </c>
      <c r="D236" s="116" t="s">
        <v>400</v>
      </c>
      <c r="E236" s="116" t="s">
        <v>756</v>
      </c>
      <c r="F236" s="116" t="s">
        <v>1119</v>
      </c>
      <c r="G236" s="116" t="s">
        <v>1584</v>
      </c>
      <c r="H236" s="116" t="s">
        <v>2046</v>
      </c>
      <c r="I236" s="116" t="s">
        <v>2269</v>
      </c>
      <c r="L236" s="116"/>
    </row>
    <row r="237" spans="1:12" ht="29" x14ac:dyDescent="0.35">
      <c r="A237" s="4">
        <f t="shared" si="9"/>
        <v>234</v>
      </c>
      <c r="B237" s="116" t="str">
        <f t="shared" si="10"/>
        <v>Toiletten (ja = -2, nein = 0)</v>
      </c>
      <c r="C237" s="4">
        <f t="shared" si="11"/>
        <v>234</v>
      </c>
      <c r="D237" s="116" t="s">
        <v>401</v>
      </c>
      <c r="E237" s="116" t="s">
        <v>757</v>
      </c>
      <c r="F237" s="116" t="s">
        <v>1124</v>
      </c>
      <c r="G237" s="116" t="s">
        <v>1585</v>
      </c>
      <c r="H237" s="116" t="s">
        <v>2047</v>
      </c>
      <c r="I237" s="116" t="s">
        <v>2270</v>
      </c>
      <c r="L237" s="116"/>
    </row>
    <row r="238" spans="1:12" ht="29" x14ac:dyDescent="0.35">
      <c r="A238" s="4">
        <f t="shared" si="9"/>
        <v>235</v>
      </c>
      <c r="B238" s="116" t="str">
        <f t="shared" si="10"/>
        <v>Parkebenen (ja = -2, nein = 0)</v>
      </c>
      <c r="C238" s="4">
        <f t="shared" si="11"/>
        <v>235</v>
      </c>
      <c r="D238" s="116" t="s">
        <v>402</v>
      </c>
      <c r="E238" s="116" t="s">
        <v>758</v>
      </c>
      <c r="F238" s="116" t="s">
        <v>1125</v>
      </c>
      <c r="G238" s="116" t="s">
        <v>1586</v>
      </c>
      <c r="H238" s="116" t="s">
        <v>2048</v>
      </c>
      <c r="I238" s="116" t="s">
        <v>2271</v>
      </c>
      <c r="L238" s="116"/>
    </row>
    <row r="239" spans="1:12" ht="29" x14ac:dyDescent="0.35">
      <c r="A239" s="4">
        <f t="shared" si="9"/>
        <v>236</v>
      </c>
      <c r="B239" s="116" t="str">
        <f t="shared" si="10"/>
        <v>Vor den Eingängen und Einfahrten (ja = -2, nein = 0)</v>
      </c>
      <c r="C239" s="4">
        <f t="shared" si="11"/>
        <v>236</v>
      </c>
      <c r="D239" s="116" t="s">
        <v>405</v>
      </c>
      <c r="E239" s="116" t="s">
        <v>760</v>
      </c>
      <c r="F239" s="116" t="s">
        <v>1126</v>
      </c>
      <c r="G239" s="116" t="s">
        <v>1589</v>
      </c>
      <c r="H239" s="116" t="s">
        <v>2051</v>
      </c>
      <c r="I239" s="116" t="s">
        <v>2274</v>
      </c>
      <c r="L239" s="116"/>
    </row>
    <row r="240" spans="1:12" x14ac:dyDescent="0.35">
      <c r="A240" s="4">
        <f t="shared" si="9"/>
        <v>237</v>
      </c>
      <c r="B240" s="116" t="str">
        <f t="shared" si="10"/>
        <v>Schlechte Qualität von Anstrichen in den</v>
      </c>
      <c r="C240" s="4">
        <f t="shared" si="11"/>
        <v>237</v>
      </c>
      <c r="D240" s="116" t="s">
        <v>406</v>
      </c>
      <c r="E240" s="116" t="s">
        <v>661</v>
      </c>
      <c r="F240" s="116" t="s">
        <v>1127</v>
      </c>
      <c r="G240" s="116" t="s">
        <v>1590</v>
      </c>
      <c r="H240" s="116" t="s">
        <v>2052</v>
      </c>
      <c r="I240" s="116" t="s">
        <v>2275</v>
      </c>
      <c r="L240" s="116"/>
    </row>
    <row r="241" spans="1:12" ht="29" x14ac:dyDescent="0.35">
      <c r="A241" s="4">
        <f t="shared" si="9"/>
        <v>238</v>
      </c>
      <c r="B241" s="116" t="str">
        <f t="shared" si="10"/>
        <v>Treppenhäusern (ja = -2, nein = 0)</v>
      </c>
      <c r="C241" s="4">
        <f t="shared" si="11"/>
        <v>238</v>
      </c>
      <c r="D241" s="116" t="s">
        <v>399</v>
      </c>
      <c r="E241" s="116" t="s">
        <v>755</v>
      </c>
      <c r="F241" s="116" t="s">
        <v>1128</v>
      </c>
      <c r="G241" s="116" t="s">
        <v>1583</v>
      </c>
      <c r="H241" s="116" t="s">
        <v>2045</v>
      </c>
      <c r="I241" s="116" t="s">
        <v>2276</v>
      </c>
      <c r="L241" s="116"/>
    </row>
    <row r="242" spans="1:12" ht="29" x14ac:dyDescent="0.35">
      <c r="A242" s="4">
        <f t="shared" si="9"/>
        <v>239</v>
      </c>
      <c r="B242" s="116" t="str">
        <f t="shared" si="10"/>
        <v>Aufzügen (ja = -2, nein = 0)</v>
      </c>
      <c r="C242" s="4">
        <f t="shared" si="11"/>
        <v>239</v>
      </c>
      <c r="D242" s="116" t="s">
        <v>400</v>
      </c>
      <c r="E242" s="116" t="s">
        <v>756</v>
      </c>
      <c r="F242" s="116" t="s">
        <v>1119</v>
      </c>
      <c r="G242" s="116" t="s">
        <v>1584</v>
      </c>
      <c r="H242" s="116" t="s">
        <v>2046</v>
      </c>
      <c r="I242" s="116" t="s">
        <v>2269</v>
      </c>
      <c r="L242" s="116"/>
    </row>
    <row r="243" spans="1:12" ht="29" x14ac:dyDescent="0.35">
      <c r="A243" s="4">
        <f t="shared" si="9"/>
        <v>240</v>
      </c>
      <c r="B243" s="116" t="str">
        <f t="shared" si="10"/>
        <v>Parkebenen (ja = -2, nein = 0)</v>
      </c>
      <c r="C243" s="4">
        <f t="shared" si="11"/>
        <v>240</v>
      </c>
      <c r="D243" s="116" t="s">
        <v>402</v>
      </c>
      <c r="E243" s="116" t="s">
        <v>758</v>
      </c>
      <c r="F243" s="116" t="s">
        <v>1125</v>
      </c>
      <c r="G243" s="116" t="s">
        <v>1586</v>
      </c>
      <c r="H243" s="116" t="s">
        <v>2048</v>
      </c>
      <c r="I243" s="116" t="s">
        <v>2271</v>
      </c>
      <c r="L243" s="116"/>
    </row>
    <row r="244" spans="1:12" ht="29" x14ac:dyDescent="0.35">
      <c r="A244" s="4">
        <f t="shared" si="9"/>
        <v>241</v>
      </c>
      <c r="B244" s="116" t="str">
        <f t="shared" si="10"/>
        <v>Schlechte Qualität der Bodenmarkierungen (ja = 2, nein = 0)</v>
      </c>
      <c r="C244" s="4">
        <f t="shared" si="11"/>
        <v>241</v>
      </c>
      <c r="D244" s="116" t="s">
        <v>407</v>
      </c>
      <c r="E244" s="116" t="s">
        <v>761</v>
      </c>
      <c r="F244" s="116" t="s">
        <v>1129</v>
      </c>
      <c r="G244" s="116" t="s">
        <v>1591</v>
      </c>
      <c r="H244" s="116" t="s">
        <v>2053</v>
      </c>
      <c r="I244" s="116" t="s">
        <v>2277</v>
      </c>
      <c r="L244" s="116"/>
    </row>
    <row r="245" spans="1:12" ht="29" x14ac:dyDescent="0.35">
      <c r="A245" s="4">
        <f t="shared" si="9"/>
        <v>242</v>
      </c>
      <c r="B245" s="116" t="str">
        <f t="shared" si="10"/>
        <v xml:space="preserve">Mangelhafte Instandhaltung (Schlaglöcher, bauliche Mängel, etc.) </v>
      </c>
      <c r="C245" s="4">
        <f t="shared" si="11"/>
        <v>242</v>
      </c>
      <c r="D245" s="116" t="s">
        <v>408</v>
      </c>
      <c r="E245" s="116" t="s">
        <v>662</v>
      </c>
      <c r="F245" s="116" t="s">
        <v>1130</v>
      </c>
      <c r="G245" s="116" t="s">
        <v>1592</v>
      </c>
      <c r="H245" s="116" t="s">
        <v>2054</v>
      </c>
      <c r="I245" s="116" t="s">
        <v>2278</v>
      </c>
      <c r="L245" s="116"/>
    </row>
    <row r="246" spans="1:12" ht="29" x14ac:dyDescent="0.35">
      <c r="A246" s="4">
        <f t="shared" si="9"/>
        <v>243</v>
      </c>
      <c r="B246" s="116" t="str">
        <f t="shared" si="10"/>
        <v>Boden (ja = -2, nein = 0)</v>
      </c>
      <c r="C246" s="4">
        <f t="shared" si="11"/>
        <v>243</v>
      </c>
      <c r="D246" s="116" t="s">
        <v>409</v>
      </c>
      <c r="E246" s="116" t="s">
        <v>758</v>
      </c>
      <c r="F246" s="116" t="s">
        <v>1131</v>
      </c>
      <c r="G246" s="116" t="s">
        <v>1593</v>
      </c>
      <c r="H246" s="116" t="s">
        <v>2055</v>
      </c>
      <c r="I246" s="116" t="s">
        <v>2279</v>
      </c>
      <c r="L246" s="116"/>
    </row>
    <row r="247" spans="1:12" ht="29" x14ac:dyDescent="0.35">
      <c r="A247" s="4">
        <f t="shared" si="9"/>
        <v>244</v>
      </c>
      <c r="B247" s="116" t="str">
        <f t="shared" si="10"/>
        <v>Wänden (ja = -2, nein = 0)</v>
      </c>
      <c r="C247" s="4">
        <f t="shared" si="11"/>
        <v>244</v>
      </c>
      <c r="D247" s="116" t="s">
        <v>410</v>
      </c>
      <c r="E247" s="116" t="s">
        <v>762</v>
      </c>
      <c r="F247" s="116" t="s">
        <v>1132</v>
      </c>
      <c r="G247" s="116" t="s">
        <v>1594</v>
      </c>
      <c r="H247" s="116" t="s">
        <v>2056</v>
      </c>
      <c r="I247" s="116" t="s">
        <v>2280</v>
      </c>
      <c r="L247" s="116"/>
    </row>
    <row r="248" spans="1:12" ht="29" x14ac:dyDescent="0.35">
      <c r="A248" s="4">
        <f t="shared" ref="A248:A273" si="12">C248</f>
        <v>245</v>
      </c>
      <c r="B248" s="116" t="str">
        <f t="shared" si="10"/>
        <v>Vorhandensein von Pfützen (ja = -2, nein = 0)</v>
      </c>
      <c r="C248" s="4">
        <f t="shared" si="11"/>
        <v>245</v>
      </c>
      <c r="D248" s="116" t="s">
        <v>411</v>
      </c>
      <c r="E248" s="116" t="s">
        <v>763</v>
      </c>
      <c r="F248" s="116" t="s">
        <v>1133</v>
      </c>
      <c r="G248" s="116" t="s">
        <v>1595</v>
      </c>
      <c r="H248" s="116" t="s">
        <v>2057</v>
      </c>
      <c r="I248" s="116" t="s">
        <v>2281</v>
      </c>
      <c r="L248" s="116"/>
    </row>
    <row r="249" spans="1:12" x14ac:dyDescent="0.35">
      <c r="A249" s="4">
        <f t="shared" si="12"/>
        <v>246</v>
      </c>
      <c r="B249" s="116" t="str">
        <f t="shared" si="10"/>
        <v>Vorhandensein von üblen Gerüchen in den</v>
      </c>
      <c r="C249" s="4">
        <f t="shared" si="11"/>
        <v>246</v>
      </c>
      <c r="D249" s="116" t="s">
        <v>412</v>
      </c>
      <c r="E249" s="116" t="s">
        <v>663</v>
      </c>
      <c r="F249" s="116" t="s">
        <v>1134</v>
      </c>
      <c r="G249" s="116" t="s">
        <v>1596</v>
      </c>
      <c r="H249" s="116" t="s">
        <v>2058</v>
      </c>
      <c r="I249" s="116" t="s">
        <v>2282</v>
      </c>
      <c r="L249" s="116"/>
    </row>
    <row r="250" spans="1:12" ht="29" x14ac:dyDescent="0.35">
      <c r="A250" s="4">
        <f t="shared" si="12"/>
        <v>247</v>
      </c>
      <c r="B250" s="116" t="str">
        <f t="shared" si="10"/>
        <v>Aufzügen (ja = -2, nein = 0)</v>
      </c>
      <c r="C250" s="4">
        <f t="shared" si="11"/>
        <v>247</v>
      </c>
      <c r="D250" s="116" t="s">
        <v>413</v>
      </c>
      <c r="E250" s="116" t="s">
        <v>756</v>
      </c>
      <c r="F250" s="116" t="s">
        <v>1119</v>
      </c>
      <c r="G250" s="116" t="s">
        <v>1584</v>
      </c>
      <c r="H250" s="116" t="s">
        <v>2046</v>
      </c>
      <c r="I250" s="116" t="s">
        <v>2283</v>
      </c>
      <c r="L250" s="116"/>
    </row>
    <row r="251" spans="1:12" ht="29" x14ac:dyDescent="0.35">
      <c r="A251" s="4">
        <f t="shared" si="12"/>
        <v>248</v>
      </c>
      <c r="B251" s="116" t="str">
        <f t="shared" si="10"/>
        <v>Treppenhäusern (ja = -2, nein = 0)</v>
      </c>
      <c r="C251" s="4">
        <f t="shared" si="11"/>
        <v>248</v>
      </c>
      <c r="D251" s="116" t="s">
        <v>399</v>
      </c>
      <c r="E251" s="116" t="s">
        <v>755</v>
      </c>
      <c r="F251" s="116" t="s">
        <v>1118</v>
      </c>
      <c r="G251" s="116" t="s">
        <v>1583</v>
      </c>
      <c r="H251" s="116" t="s">
        <v>2045</v>
      </c>
      <c r="I251" s="116" t="s">
        <v>2276</v>
      </c>
      <c r="L251" s="116"/>
    </row>
    <row r="252" spans="1:12" ht="29" x14ac:dyDescent="0.35">
      <c r="A252" s="4">
        <f t="shared" si="12"/>
        <v>249</v>
      </c>
      <c r="B252" s="116" t="str">
        <f t="shared" si="10"/>
        <v>Parkebenen (ja = -2, nein = 0)</v>
      </c>
      <c r="C252" s="4">
        <f t="shared" si="11"/>
        <v>249</v>
      </c>
      <c r="D252" s="116" t="s">
        <v>414</v>
      </c>
      <c r="E252" s="116" t="s">
        <v>758</v>
      </c>
      <c r="F252" s="116" t="s">
        <v>1135</v>
      </c>
      <c r="G252" s="116" t="s">
        <v>1586</v>
      </c>
      <c r="H252" s="116" t="s">
        <v>2059</v>
      </c>
      <c r="I252" s="116" t="s">
        <v>2284</v>
      </c>
      <c r="L252" s="116"/>
    </row>
    <row r="253" spans="1:12" ht="43.5" x14ac:dyDescent="0.35">
      <c r="A253" s="4">
        <f t="shared" si="12"/>
        <v>250</v>
      </c>
      <c r="B253" s="116" t="str">
        <f t="shared" si="10"/>
        <v>Über 15% der Stellplätze in Sackgassen ohne Anzeige der Belegung (ja = 5, nein = 0)</v>
      </c>
      <c r="C253" s="4">
        <f t="shared" si="11"/>
        <v>250</v>
      </c>
      <c r="D253" s="116" t="s">
        <v>415</v>
      </c>
      <c r="E253" s="116" t="s">
        <v>764</v>
      </c>
      <c r="F253" s="116" t="s">
        <v>1136</v>
      </c>
      <c r="G253" s="116" t="s">
        <v>1597</v>
      </c>
      <c r="H253" s="116" t="s">
        <v>2060</v>
      </c>
      <c r="I253" s="116" t="s">
        <v>2285</v>
      </c>
      <c r="L253" s="116"/>
    </row>
    <row r="254" spans="1:12" ht="43.5" x14ac:dyDescent="0.35">
      <c r="A254" s="4">
        <f t="shared" ref="A254:A256" si="13">C254</f>
        <v>251</v>
      </c>
      <c r="B254" s="116" t="str">
        <f t="shared" si="10"/>
        <v>Verschiedene Kritikpunkte (zu erläutern!)
[z.B.: Lärm, quietschende Reifen, unerwünschtes Publikum, etc.] bis zu-10 Pkt.</v>
      </c>
      <c r="C254" s="4">
        <f t="shared" si="11"/>
        <v>251</v>
      </c>
      <c r="D254" s="116" t="s">
        <v>107</v>
      </c>
      <c r="E254" s="116" t="s">
        <v>765</v>
      </c>
      <c r="F254" s="116" t="s">
        <v>1137</v>
      </c>
      <c r="G254" s="116" t="s">
        <v>1662</v>
      </c>
      <c r="H254" s="116" t="s">
        <v>2061</v>
      </c>
      <c r="I254" s="116" t="s">
        <v>2286</v>
      </c>
      <c r="L254" s="116"/>
    </row>
    <row r="255" spans="1:12" ht="29" x14ac:dyDescent="0.35">
      <c r="A255" s="4">
        <f t="shared" si="13"/>
        <v>252</v>
      </c>
      <c r="B255" s="116" t="str">
        <f t="shared" si="10"/>
        <v>Strafabzug für Mindestanforderung 1.4 kommt zur Anwendung.</v>
      </c>
      <c r="C255" s="4">
        <f t="shared" si="11"/>
        <v>252</v>
      </c>
      <c r="D255" s="116" t="s">
        <v>1772</v>
      </c>
      <c r="E255" s="116" t="s">
        <v>2532</v>
      </c>
      <c r="F255" s="133"/>
      <c r="G255" s="133" t="s">
        <v>1797</v>
      </c>
      <c r="H255" s="116" t="s">
        <v>2062</v>
      </c>
      <c r="I255" s="180" t="s">
        <v>2341</v>
      </c>
      <c r="L255" s="116"/>
    </row>
    <row r="256" spans="1:12" x14ac:dyDescent="0.35">
      <c r="A256" s="4">
        <f t="shared" si="13"/>
        <v>253</v>
      </c>
      <c r="B256" s="116" t="str">
        <f t="shared" si="10"/>
        <v>Bonuspunkte</v>
      </c>
      <c r="C256" s="4">
        <f t="shared" si="11"/>
        <v>253</v>
      </c>
      <c r="D256" s="116" t="s">
        <v>186</v>
      </c>
      <c r="E256" s="116" t="s">
        <v>664</v>
      </c>
      <c r="F256" s="116" t="s">
        <v>1138</v>
      </c>
      <c r="G256" s="116" t="s">
        <v>1598</v>
      </c>
      <c r="H256" s="116" t="s">
        <v>2063</v>
      </c>
      <c r="I256" s="116" t="s">
        <v>2287</v>
      </c>
      <c r="L256" s="116"/>
    </row>
    <row r="257" spans="1:12" x14ac:dyDescent="0.35">
      <c r="A257" s="4">
        <f t="shared" si="12"/>
        <v>254</v>
      </c>
      <c r="B257" s="116" t="str">
        <f t="shared" si="10"/>
        <v>Zusätzliche Einrichtungen im Parkhaus:</v>
      </c>
      <c r="C257" s="4">
        <f t="shared" si="11"/>
        <v>254</v>
      </c>
      <c r="D257" s="116" t="s">
        <v>416</v>
      </c>
      <c r="E257" s="116" t="s">
        <v>665</v>
      </c>
      <c r="F257" s="116" t="s">
        <v>1139</v>
      </c>
      <c r="G257" s="116" t="s">
        <v>1599</v>
      </c>
      <c r="H257" s="116" t="s">
        <v>2064</v>
      </c>
      <c r="I257" s="116" t="s">
        <v>2342</v>
      </c>
      <c r="L257" s="116"/>
    </row>
    <row r="258" spans="1:12" ht="29" x14ac:dyDescent="0.35">
      <c r="A258" s="4">
        <f t="shared" si="12"/>
        <v>255</v>
      </c>
      <c r="B258" s="116" t="str">
        <f t="shared" si="10"/>
        <v>Motorradstellplätze (ja = 1, nein = 0)</v>
      </c>
      <c r="C258" s="4">
        <f t="shared" si="11"/>
        <v>255</v>
      </c>
      <c r="D258" s="116" t="s">
        <v>417</v>
      </c>
      <c r="E258" s="116" t="s">
        <v>766</v>
      </c>
      <c r="F258" s="116" t="s">
        <v>1140</v>
      </c>
      <c r="G258" s="116" t="s">
        <v>1600</v>
      </c>
      <c r="H258" s="116" t="s">
        <v>2065</v>
      </c>
      <c r="I258" s="116" t="s">
        <v>2288</v>
      </c>
      <c r="L258" s="116"/>
    </row>
    <row r="259" spans="1:12" ht="29" x14ac:dyDescent="0.35">
      <c r="A259" s="4">
        <f t="shared" si="12"/>
        <v>256</v>
      </c>
      <c r="B259" s="116" t="str">
        <f t="shared" si="10"/>
        <v>Schließfächer (ja = 1, nein = 0)</v>
      </c>
      <c r="C259" s="4">
        <f t="shared" si="11"/>
        <v>256</v>
      </c>
      <c r="D259" s="116" t="s">
        <v>418</v>
      </c>
      <c r="E259" s="116" t="s">
        <v>767</v>
      </c>
      <c r="F259" s="116" t="s">
        <v>1141</v>
      </c>
      <c r="G259" s="116" t="s">
        <v>1601</v>
      </c>
      <c r="H259" s="116" t="s">
        <v>2066</v>
      </c>
      <c r="I259" s="116" t="s">
        <v>2289</v>
      </c>
      <c r="L259" s="116"/>
    </row>
    <row r="260" spans="1:12" ht="29" x14ac:dyDescent="0.35">
      <c r="A260" s="4">
        <f t="shared" si="12"/>
        <v>257</v>
      </c>
      <c r="B260" s="116" t="str">
        <f t="shared" ref="B260:B273" si="14">IF(ISBLANK(VLOOKUP(A260,$C$4:$V$9989,1+$A$1)),D260,VLOOKUP(A260,$C$4:$V$9989,1+$A$1))</f>
        <v>Andere Angebote (ja = 1, nein = 0)</v>
      </c>
      <c r="C260" s="4">
        <f t="shared" si="11"/>
        <v>257</v>
      </c>
      <c r="D260" s="116" t="s">
        <v>419</v>
      </c>
      <c r="E260" s="116" t="s">
        <v>768</v>
      </c>
      <c r="F260" s="116" t="s">
        <v>1142</v>
      </c>
      <c r="G260" s="116" t="s">
        <v>1602</v>
      </c>
      <c r="H260" s="116" t="s">
        <v>2067</v>
      </c>
      <c r="I260" s="116" t="s">
        <v>2290</v>
      </c>
      <c r="L260" s="116"/>
    </row>
    <row r="261" spans="1:12" ht="29" x14ac:dyDescent="0.35">
      <c r="A261" s="4">
        <f t="shared" si="12"/>
        <v>258</v>
      </c>
      <c r="B261" s="116" t="str">
        <f t="shared" si="14"/>
        <v>Fahrradverleih (ja = 1, nein = 0)</v>
      </c>
      <c r="C261" s="4">
        <f t="shared" si="11"/>
        <v>258</v>
      </c>
      <c r="D261" s="116" t="s">
        <v>420</v>
      </c>
      <c r="E261" s="116" t="s">
        <v>769</v>
      </c>
      <c r="F261" s="116" t="s">
        <v>1143</v>
      </c>
      <c r="G261" s="116" t="s">
        <v>1603</v>
      </c>
      <c r="H261" s="116" t="s">
        <v>2068</v>
      </c>
      <c r="I261" s="116" t="s">
        <v>2291</v>
      </c>
      <c r="L261" s="116"/>
    </row>
    <row r="262" spans="1:12" ht="29" x14ac:dyDescent="0.35">
      <c r="A262" s="4">
        <f t="shared" si="12"/>
        <v>259</v>
      </c>
      <c r="B262" s="116" t="str">
        <f t="shared" si="14"/>
        <v>Andere Fahrerservices (ja = 1, nein = 0)</v>
      </c>
      <c r="C262" s="4">
        <f t="shared" si="11"/>
        <v>259</v>
      </c>
      <c r="D262" s="116" t="s">
        <v>421</v>
      </c>
      <c r="E262" s="116" t="s">
        <v>770</v>
      </c>
      <c r="F262" s="116" t="s">
        <v>1144</v>
      </c>
      <c r="G262" s="116" t="s">
        <v>1604</v>
      </c>
      <c r="H262" s="116" t="s">
        <v>2069</v>
      </c>
      <c r="I262" s="165" t="s">
        <v>2292</v>
      </c>
      <c r="L262" s="116"/>
    </row>
    <row r="263" spans="1:12" ht="29" x14ac:dyDescent="0.35">
      <c r="A263" s="4">
        <f t="shared" si="12"/>
        <v>260</v>
      </c>
      <c r="B263" s="116" t="str">
        <f t="shared" si="14"/>
        <v>Verkaufsautomaten (ja = 1, nein = 0)</v>
      </c>
      <c r="C263" s="4">
        <f t="shared" si="11"/>
        <v>260</v>
      </c>
      <c r="D263" s="116" t="s">
        <v>422</v>
      </c>
      <c r="E263" s="116" t="s">
        <v>771</v>
      </c>
      <c r="F263" s="116" t="s">
        <v>1145</v>
      </c>
      <c r="G263" s="116" t="s">
        <v>1605</v>
      </c>
      <c r="H263" s="116" t="s">
        <v>2070</v>
      </c>
      <c r="I263" s="116" t="s">
        <v>2343</v>
      </c>
      <c r="L263" s="116"/>
    </row>
    <row r="264" spans="1:12" ht="29" x14ac:dyDescent="0.35">
      <c r="A264" s="4">
        <f t="shared" si="12"/>
        <v>261</v>
      </c>
      <c r="B264" s="116" t="str">
        <f t="shared" si="14"/>
        <v>Defibrillator (ja = 1, nein = 0)</v>
      </c>
      <c r="C264" s="4">
        <f t="shared" si="11"/>
        <v>261</v>
      </c>
      <c r="D264" s="116" t="s">
        <v>423</v>
      </c>
      <c r="E264" s="116" t="s">
        <v>772</v>
      </c>
      <c r="F264" s="116" t="s">
        <v>1146</v>
      </c>
      <c r="G264" s="116" t="s">
        <v>1606</v>
      </c>
      <c r="H264" s="116" t="s">
        <v>2071</v>
      </c>
      <c r="I264" s="116" t="s">
        <v>2293</v>
      </c>
      <c r="L264" s="116"/>
    </row>
    <row r="265" spans="1:12" ht="29" x14ac:dyDescent="0.35">
      <c r="A265" s="4">
        <f t="shared" si="12"/>
        <v>262</v>
      </c>
      <c r="B265" s="116" t="str">
        <f t="shared" si="14"/>
        <v>Personal mit Erste-Hilfe-Ausbildung (ja = 1, nein = 0)</v>
      </c>
      <c r="C265" s="4">
        <f t="shared" si="11"/>
        <v>262</v>
      </c>
      <c r="D265" s="116" t="s">
        <v>424</v>
      </c>
      <c r="E265" s="116" t="s">
        <v>773</v>
      </c>
      <c r="F265" s="116" t="s">
        <v>1147</v>
      </c>
      <c r="G265" s="116" t="s">
        <v>1607</v>
      </c>
      <c r="H265" s="116" t="s">
        <v>2072</v>
      </c>
      <c r="I265" s="116" t="s">
        <v>2294</v>
      </c>
      <c r="L265" s="116"/>
    </row>
    <row r="266" spans="1:12" ht="29" x14ac:dyDescent="0.35">
      <c r="A266" s="4">
        <f t="shared" si="12"/>
        <v>263</v>
      </c>
      <c r="B266" s="116" t="str">
        <f t="shared" si="14"/>
        <v>Echtzeit-Verkehrsinformationen (ja = 1, nein = 0)</v>
      </c>
      <c r="C266" s="4">
        <f t="shared" ref="C266:C273" si="15">C265+1</f>
        <v>263</v>
      </c>
      <c r="D266" s="116" t="s">
        <v>425</v>
      </c>
      <c r="E266" s="116" t="s">
        <v>774</v>
      </c>
      <c r="F266" s="116" t="s">
        <v>1148</v>
      </c>
      <c r="G266" s="116" t="s">
        <v>1608</v>
      </c>
      <c r="H266" s="116" t="s">
        <v>2073</v>
      </c>
      <c r="I266" s="116" t="s">
        <v>2295</v>
      </c>
      <c r="L266" s="116"/>
    </row>
    <row r="267" spans="1:12" ht="29" x14ac:dyDescent="0.35">
      <c r="A267" s="4">
        <f t="shared" si="12"/>
        <v>264</v>
      </c>
      <c r="B267" s="116" t="str">
        <f t="shared" si="14"/>
        <v>Andere aktuelle Informationen  (z.B. lokale Veranstaltungen) (ja = 1, nein = 0)</v>
      </c>
      <c r="C267" s="4">
        <f t="shared" si="15"/>
        <v>264</v>
      </c>
      <c r="D267" s="116" t="s">
        <v>426</v>
      </c>
      <c r="E267" s="116" t="s">
        <v>775</v>
      </c>
      <c r="F267" s="116" t="s">
        <v>1149</v>
      </c>
      <c r="G267" s="116" t="s">
        <v>1609</v>
      </c>
      <c r="H267" s="116" t="s">
        <v>2074</v>
      </c>
      <c r="I267" s="116" t="s">
        <v>2296</v>
      </c>
      <c r="L267" s="116"/>
    </row>
    <row r="268" spans="1:12" ht="43.5" x14ac:dyDescent="0.35">
      <c r="A268" s="4">
        <f t="shared" si="12"/>
        <v>265</v>
      </c>
      <c r="B268" s="116" t="str">
        <f t="shared" si="14"/>
        <v>Maßnahmen zur Verbesserung des Verkehrsablaufes in Spitzenstunden (z.B. tageszeitlich wechselnde Ein-/Ausfahrtsspuren) - (ja = 3, nein = 0)</v>
      </c>
      <c r="C268" s="4">
        <f t="shared" si="15"/>
        <v>265</v>
      </c>
      <c r="D268" s="116" t="s">
        <v>427</v>
      </c>
      <c r="E268" s="116" t="s">
        <v>776</v>
      </c>
      <c r="F268" s="116" t="s">
        <v>1150</v>
      </c>
      <c r="G268" s="116" t="s">
        <v>1610</v>
      </c>
      <c r="H268" s="116" t="s">
        <v>2075</v>
      </c>
      <c r="I268" s="165" t="s">
        <v>2297</v>
      </c>
      <c r="L268" s="116"/>
    </row>
    <row r="269" spans="1:12" ht="43.5" x14ac:dyDescent="0.35">
      <c r="A269" s="4">
        <f t="shared" si="12"/>
        <v>266</v>
      </c>
      <c r="B269" s="116" t="str">
        <f t="shared" si="14"/>
        <v>Wendemöglichkeit für Fahrzeuge vor der Höhenbegrenzung oder besondere Anzeigen zur Vermeidung von Rückwärtsfahrten  (ja = 3, nein = 0)</v>
      </c>
      <c r="C269" s="4">
        <f t="shared" si="15"/>
        <v>266</v>
      </c>
      <c r="D269" s="116" t="s">
        <v>428</v>
      </c>
      <c r="E269" s="116" t="s">
        <v>777</v>
      </c>
      <c r="F269" s="116" t="s">
        <v>1151</v>
      </c>
      <c r="G269" s="116" t="s">
        <v>1611</v>
      </c>
      <c r="H269" s="116" t="s">
        <v>2076</v>
      </c>
      <c r="I269" s="116" t="s">
        <v>2344</v>
      </c>
      <c r="L269" s="116"/>
    </row>
    <row r="270" spans="1:12" ht="29" x14ac:dyDescent="0.35">
      <c r="A270" s="4">
        <f t="shared" si="12"/>
        <v>267</v>
      </c>
      <c r="B270" s="116" t="str">
        <f t="shared" si="14"/>
        <v>Parkhausaufsicht mit Bedientresen (ja = 1, nein = 0)</v>
      </c>
      <c r="C270" s="4">
        <f t="shared" si="15"/>
        <v>267</v>
      </c>
      <c r="D270" s="116" t="s">
        <v>429</v>
      </c>
      <c r="E270" s="116" t="s">
        <v>778</v>
      </c>
      <c r="F270" s="116" t="s">
        <v>1152</v>
      </c>
      <c r="G270" s="116" t="s">
        <v>1612</v>
      </c>
      <c r="H270" s="116" t="s">
        <v>2077</v>
      </c>
      <c r="I270" s="116" t="s">
        <v>2298</v>
      </c>
      <c r="L270" s="116"/>
    </row>
    <row r="271" spans="1:12" ht="58" x14ac:dyDescent="0.35">
      <c r="A271" s="4">
        <f t="shared" si="12"/>
        <v>268</v>
      </c>
      <c r="B271" s="116" t="str">
        <f t="shared" si="14"/>
        <v>Rolltreppen oder Rollsteige
(von/zu allen Etagen = 5, nur zu bestimmten Etagen = 3, keine Rolltreppen oder Rollsteige = 0)</v>
      </c>
      <c r="C271" s="4">
        <f t="shared" si="15"/>
        <v>268</v>
      </c>
      <c r="D271" s="116" t="s">
        <v>264</v>
      </c>
      <c r="E271" s="116" t="s">
        <v>779</v>
      </c>
      <c r="F271" s="116" t="s">
        <v>1154</v>
      </c>
      <c r="G271" s="116" t="s">
        <v>1663</v>
      </c>
      <c r="H271" s="116" t="s">
        <v>2078</v>
      </c>
      <c r="I271" s="165" t="s">
        <v>2299</v>
      </c>
      <c r="L271" s="116"/>
    </row>
    <row r="272" spans="1:12" ht="43.5" x14ac:dyDescent="0.35">
      <c r="A272" s="4">
        <f t="shared" si="12"/>
        <v>269</v>
      </c>
      <c r="B272" s="116" t="str">
        <f t="shared" si="14"/>
        <v>Lokalisierung von Fahrzeugen durch den Parkschein oder das Fahrzeugkennzeichen
(ja = 1, nein = 0)</v>
      </c>
      <c r="C272" s="4">
        <f t="shared" si="15"/>
        <v>269</v>
      </c>
      <c r="D272" s="116" t="s">
        <v>335</v>
      </c>
      <c r="E272" s="116" t="s">
        <v>780</v>
      </c>
      <c r="F272" s="116" t="s">
        <v>1155</v>
      </c>
      <c r="G272" s="116" t="s">
        <v>1664</v>
      </c>
      <c r="H272" s="116" t="s">
        <v>2079</v>
      </c>
      <c r="I272" s="116" t="s">
        <v>2300</v>
      </c>
      <c r="L272" s="116"/>
    </row>
    <row r="273" spans="1:12" ht="58" x14ac:dyDescent="0.35">
      <c r="A273" s="4">
        <f t="shared" si="12"/>
        <v>270</v>
      </c>
      <c r="B273" s="116" t="str">
        <f t="shared" si="14"/>
        <v>Andere positive Punkte oder Zusatzleistungen, wie freundliches Personal, gekachelte Wände/Böden, gutes Einfügen des Parkhauses in das Stadtbild usw. (zu beschreiben). (bis zu 10 Punkte).</v>
      </c>
      <c r="C273" s="4">
        <f t="shared" si="15"/>
        <v>270</v>
      </c>
      <c r="D273" s="116" t="s">
        <v>537</v>
      </c>
      <c r="E273" s="116" t="s">
        <v>781</v>
      </c>
      <c r="F273" s="116" t="s">
        <v>1153</v>
      </c>
      <c r="G273" s="116" t="s">
        <v>1613</v>
      </c>
      <c r="H273" s="116" t="s">
        <v>2080</v>
      </c>
      <c r="I273" s="116" t="s">
        <v>2301</v>
      </c>
      <c r="L273" s="117"/>
    </row>
    <row r="274" spans="1:12" x14ac:dyDescent="0.35">
      <c r="B274" s="57"/>
    </row>
    <row r="275" spans="1:12" x14ac:dyDescent="0.35">
      <c r="B275" s="57"/>
    </row>
    <row r="276" spans="1:12" x14ac:dyDescent="0.35">
      <c r="B276" s="57"/>
    </row>
    <row r="277" spans="1:12" x14ac:dyDescent="0.35">
      <c r="B277" s="57"/>
    </row>
    <row r="278" spans="1:12" x14ac:dyDescent="0.35">
      <c r="B278" s="57"/>
    </row>
    <row r="279" spans="1:12" x14ac:dyDescent="0.35">
      <c r="B279" s="57"/>
    </row>
    <row r="280" spans="1:12" x14ac:dyDescent="0.35">
      <c r="B280" s="57"/>
    </row>
    <row r="281" spans="1:12" x14ac:dyDescent="0.35">
      <c r="B281" s="57"/>
    </row>
    <row r="282" spans="1:12" x14ac:dyDescent="0.35">
      <c r="B282" s="57"/>
    </row>
    <row r="283" spans="1:12" x14ac:dyDescent="0.35">
      <c r="B283" s="57"/>
    </row>
    <row r="284" spans="1:12" x14ac:dyDescent="0.35">
      <c r="B284" s="57"/>
    </row>
    <row r="285" spans="1:12" x14ac:dyDescent="0.35">
      <c r="B285" s="57"/>
    </row>
    <row r="286" spans="1:12" x14ac:dyDescent="0.35">
      <c r="B286" s="57"/>
    </row>
    <row r="287" spans="1:12" x14ac:dyDescent="0.35">
      <c r="B287" s="57"/>
    </row>
    <row r="288" spans="1:12" x14ac:dyDescent="0.35">
      <c r="B288" s="57"/>
    </row>
    <row r="289" spans="2:2" x14ac:dyDescent="0.35">
      <c r="B289" s="57"/>
    </row>
    <row r="290" spans="2:2" x14ac:dyDescent="0.35">
      <c r="B290" s="57"/>
    </row>
    <row r="291" spans="2:2" x14ac:dyDescent="0.35">
      <c r="B291" s="57"/>
    </row>
    <row r="292" spans="2:2" x14ac:dyDescent="0.35">
      <c r="B292" s="57"/>
    </row>
    <row r="293" spans="2:2" x14ac:dyDescent="0.35">
      <c r="B293" s="57"/>
    </row>
    <row r="294" spans="2:2" x14ac:dyDescent="0.35">
      <c r="B294" s="57"/>
    </row>
    <row r="295" spans="2:2" x14ac:dyDescent="0.35">
      <c r="B295" s="57"/>
    </row>
    <row r="296" spans="2:2" x14ac:dyDescent="0.35">
      <c r="B296" s="57"/>
    </row>
    <row r="297" spans="2:2" x14ac:dyDescent="0.35">
      <c r="B297" s="57"/>
    </row>
    <row r="298" spans="2:2" x14ac:dyDescent="0.35">
      <c r="B298" s="57"/>
    </row>
    <row r="299" spans="2:2" x14ac:dyDescent="0.35">
      <c r="B299" s="57"/>
    </row>
    <row r="300" spans="2:2" x14ac:dyDescent="0.35">
      <c r="B300" s="57"/>
    </row>
    <row r="301" spans="2:2" x14ac:dyDescent="0.35">
      <c r="B301" s="57"/>
    </row>
    <row r="302" spans="2:2" x14ac:dyDescent="0.35">
      <c r="B302" s="57"/>
    </row>
    <row r="303" spans="2:2" x14ac:dyDescent="0.35">
      <c r="B303" s="57"/>
    </row>
    <row r="304" spans="2:2"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row r="457" spans="2:2" x14ac:dyDescent="0.35">
      <c r="B457" s="57"/>
    </row>
    <row r="458" spans="2:2" x14ac:dyDescent="0.35">
      <c r="B458" s="57"/>
    </row>
    <row r="459" spans="2:2" x14ac:dyDescent="0.35">
      <c r="B459" s="57"/>
    </row>
    <row r="460" spans="2:2" x14ac:dyDescent="0.35">
      <c r="B460" s="57"/>
    </row>
    <row r="461" spans="2:2" x14ac:dyDescent="0.35">
      <c r="B461" s="57"/>
    </row>
    <row r="462" spans="2:2" x14ac:dyDescent="0.35">
      <c r="B462" s="57"/>
    </row>
    <row r="463" spans="2:2" x14ac:dyDescent="0.35">
      <c r="B463" s="57"/>
    </row>
    <row r="464" spans="2:2" x14ac:dyDescent="0.35">
      <c r="B464" s="57"/>
    </row>
    <row r="465" spans="2:2" x14ac:dyDescent="0.35">
      <c r="B465" s="57"/>
    </row>
    <row r="466" spans="2:2" x14ac:dyDescent="0.35">
      <c r="B466" s="57"/>
    </row>
    <row r="467" spans="2:2" x14ac:dyDescent="0.35">
      <c r="B467" s="57"/>
    </row>
    <row r="468" spans="2:2" x14ac:dyDescent="0.35">
      <c r="B468" s="57"/>
    </row>
    <row r="469" spans="2:2" x14ac:dyDescent="0.35">
      <c r="B469" s="57"/>
    </row>
    <row r="470" spans="2:2" x14ac:dyDescent="0.35">
      <c r="B470" s="57"/>
    </row>
    <row r="471" spans="2:2" x14ac:dyDescent="0.35">
      <c r="B471" s="57"/>
    </row>
    <row r="472" spans="2:2" x14ac:dyDescent="0.35">
      <c r="B472" s="57"/>
    </row>
    <row r="473" spans="2:2" x14ac:dyDescent="0.35">
      <c r="B473" s="57"/>
    </row>
    <row r="474" spans="2:2" x14ac:dyDescent="0.35">
      <c r="B474" s="57"/>
    </row>
    <row r="475" spans="2:2" x14ac:dyDescent="0.35">
      <c r="B475" s="57"/>
    </row>
    <row r="476" spans="2:2" x14ac:dyDescent="0.35">
      <c r="B476" s="57"/>
    </row>
    <row r="477" spans="2:2" x14ac:dyDescent="0.35">
      <c r="B477" s="57"/>
    </row>
    <row r="478" spans="2:2" x14ac:dyDescent="0.35">
      <c r="B478" s="57"/>
    </row>
    <row r="479" spans="2:2" x14ac:dyDescent="0.35">
      <c r="B479" s="57"/>
    </row>
    <row r="480" spans="2:2" x14ac:dyDescent="0.35">
      <c r="B480" s="57"/>
    </row>
    <row r="481" spans="2:2" x14ac:dyDescent="0.35">
      <c r="B481" s="57"/>
    </row>
    <row r="482" spans="2:2" x14ac:dyDescent="0.35">
      <c r="B482" s="57"/>
    </row>
    <row r="483" spans="2:2" x14ac:dyDescent="0.35">
      <c r="B483" s="57"/>
    </row>
    <row r="484" spans="2:2" x14ac:dyDescent="0.35">
      <c r="B484" s="57"/>
    </row>
    <row r="485" spans="2:2" x14ac:dyDescent="0.35">
      <c r="B485" s="57"/>
    </row>
    <row r="486" spans="2:2" x14ac:dyDescent="0.35">
      <c r="B486" s="57"/>
    </row>
    <row r="487" spans="2:2" x14ac:dyDescent="0.35">
      <c r="B487" s="57"/>
    </row>
    <row r="488" spans="2:2" x14ac:dyDescent="0.35">
      <c r="B488" s="57"/>
    </row>
    <row r="489" spans="2:2" x14ac:dyDescent="0.35">
      <c r="B489" s="57"/>
    </row>
    <row r="490" spans="2:2" x14ac:dyDescent="0.35">
      <c r="B490" s="57"/>
    </row>
    <row r="491" spans="2:2" x14ac:dyDescent="0.35">
      <c r="B491" s="57"/>
    </row>
    <row r="492" spans="2:2" x14ac:dyDescent="0.35">
      <c r="B492" s="57"/>
    </row>
    <row r="493" spans="2:2" x14ac:dyDescent="0.35">
      <c r="B493" s="57"/>
    </row>
    <row r="494" spans="2:2" x14ac:dyDescent="0.35">
      <c r="B494" s="57"/>
    </row>
    <row r="495" spans="2:2" x14ac:dyDescent="0.35">
      <c r="B495" s="57"/>
    </row>
    <row r="496" spans="2:2" x14ac:dyDescent="0.35">
      <c r="B496" s="57"/>
    </row>
    <row r="497" spans="2:2" x14ac:dyDescent="0.35">
      <c r="B497" s="57"/>
    </row>
    <row r="498" spans="2:2" x14ac:dyDescent="0.35">
      <c r="B498" s="57"/>
    </row>
    <row r="499" spans="2:2" x14ac:dyDescent="0.35">
      <c r="B499" s="57"/>
    </row>
    <row r="500" spans="2:2" x14ac:dyDescent="0.35">
      <c r="B500" s="57"/>
    </row>
    <row r="501" spans="2:2" x14ac:dyDescent="0.35">
      <c r="B501" s="57"/>
    </row>
    <row r="502" spans="2:2" x14ac:dyDescent="0.35">
      <c r="B502" s="57"/>
    </row>
    <row r="503" spans="2:2" x14ac:dyDescent="0.35">
      <c r="B503" s="57"/>
    </row>
    <row r="504" spans="2:2" x14ac:dyDescent="0.35">
      <c r="B504" s="57"/>
    </row>
    <row r="505" spans="2:2" x14ac:dyDescent="0.35">
      <c r="B505" s="57"/>
    </row>
    <row r="506" spans="2:2" x14ac:dyDescent="0.35">
      <c r="B506" s="57"/>
    </row>
    <row r="507" spans="2:2" x14ac:dyDescent="0.35">
      <c r="B507" s="57"/>
    </row>
    <row r="508" spans="2:2" x14ac:dyDescent="0.35">
      <c r="B508" s="57"/>
    </row>
    <row r="509" spans="2:2" x14ac:dyDescent="0.35">
      <c r="B509" s="57"/>
    </row>
    <row r="510" spans="2:2" x14ac:dyDescent="0.35">
      <c r="B510" s="57"/>
    </row>
    <row r="511" spans="2:2" x14ac:dyDescent="0.35">
      <c r="B511" s="57"/>
    </row>
    <row r="512" spans="2:2" x14ac:dyDescent="0.35">
      <c r="B512" s="57"/>
    </row>
    <row r="513" spans="2:2" x14ac:dyDescent="0.35">
      <c r="B513" s="57"/>
    </row>
    <row r="514" spans="2:2" x14ac:dyDescent="0.35">
      <c r="B514" s="57"/>
    </row>
    <row r="515" spans="2:2" x14ac:dyDescent="0.35">
      <c r="B515" s="57"/>
    </row>
    <row r="516" spans="2:2" x14ac:dyDescent="0.35">
      <c r="B516" s="57"/>
    </row>
    <row r="517" spans="2:2" x14ac:dyDescent="0.35">
      <c r="B517" s="57"/>
    </row>
    <row r="518" spans="2:2" x14ac:dyDescent="0.35">
      <c r="B518" s="57"/>
    </row>
    <row r="519" spans="2:2" x14ac:dyDescent="0.35">
      <c r="B519" s="57"/>
    </row>
    <row r="520" spans="2:2" x14ac:dyDescent="0.35">
      <c r="B520" s="57"/>
    </row>
    <row r="521" spans="2:2" x14ac:dyDescent="0.35">
      <c r="B521" s="57"/>
    </row>
    <row r="522" spans="2:2" x14ac:dyDescent="0.35">
      <c r="B522" s="57"/>
    </row>
    <row r="523" spans="2:2" x14ac:dyDescent="0.35">
      <c r="B523" s="57"/>
    </row>
    <row r="524" spans="2:2" x14ac:dyDescent="0.35">
      <c r="B524" s="57"/>
    </row>
    <row r="525" spans="2:2" x14ac:dyDescent="0.35">
      <c r="B525" s="57"/>
    </row>
    <row r="526" spans="2:2" x14ac:dyDescent="0.35">
      <c r="B526" s="57"/>
    </row>
    <row r="527" spans="2:2" x14ac:dyDescent="0.35">
      <c r="B527" s="57"/>
    </row>
    <row r="528" spans="2:2" x14ac:dyDescent="0.35">
      <c r="B528" s="57"/>
    </row>
    <row r="529" spans="2:2" x14ac:dyDescent="0.35">
      <c r="B529" s="57"/>
    </row>
    <row r="530" spans="2:2" x14ac:dyDescent="0.35">
      <c r="B530" s="57"/>
    </row>
    <row r="531" spans="2:2" x14ac:dyDescent="0.35">
      <c r="B531" s="57"/>
    </row>
    <row r="532" spans="2:2" x14ac:dyDescent="0.35">
      <c r="B532" s="57"/>
    </row>
    <row r="533" spans="2:2" x14ac:dyDescent="0.35">
      <c r="B533" s="57"/>
    </row>
    <row r="534" spans="2:2" x14ac:dyDescent="0.35">
      <c r="B534" s="57"/>
    </row>
    <row r="535" spans="2:2" x14ac:dyDescent="0.35">
      <c r="B535" s="57"/>
    </row>
    <row r="536" spans="2:2" x14ac:dyDescent="0.35">
      <c r="B536" s="57"/>
    </row>
    <row r="537" spans="2:2" x14ac:dyDescent="0.35">
      <c r="B537" s="57"/>
    </row>
    <row r="538" spans="2:2" x14ac:dyDescent="0.35">
      <c r="B538" s="57"/>
    </row>
    <row r="539" spans="2:2" x14ac:dyDescent="0.35">
      <c r="B539" s="57"/>
    </row>
    <row r="540" spans="2:2" x14ac:dyDescent="0.35">
      <c r="B540" s="57"/>
    </row>
    <row r="541" spans="2:2" x14ac:dyDescent="0.35">
      <c r="B541" s="57"/>
    </row>
    <row r="542" spans="2:2" x14ac:dyDescent="0.35">
      <c r="B542" s="57"/>
    </row>
    <row r="543" spans="2:2" x14ac:dyDescent="0.35">
      <c r="B543" s="57"/>
    </row>
    <row r="544" spans="2:2" x14ac:dyDescent="0.35">
      <c r="B544" s="57"/>
    </row>
    <row r="545" spans="2:2" x14ac:dyDescent="0.35">
      <c r="B545" s="57"/>
    </row>
    <row r="546" spans="2:2" x14ac:dyDescent="0.35">
      <c r="B546" s="57"/>
    </row>
    <row r="547" spans="2:2" x14ac:dyDescent="0.35">
      <c r="B547" s="57"/>
    </row>
    <row r="548" spans="2:2" x14ac:dyDescent="0.35">
      <c r="B548" s="57"/>
    </row>
    <row r="549" spans="2:2" x14ac:dyDescent="0.35">
      <c r="B549" s="57"/>
    </row>
    <row r="550" spans="2:2" x14ac:dyDescent="0.35">
      <c r="B550" s="57"/>
    </row>
    <row r="551" spans="2:2" x14ac:dyDescent="0.35">
      <c r="B551" s="57"/>
    </row>
    <row r="552" spans="2:2" x14ac:dyDescent="0.35">
      <c r="B552" s="57"/>
    </row>
    <row r="553" spans="2:2" x14ac:dyDescent="0.35">
      <c r="B553" s="57"/>
    </row>
    <row r="554" spans="2:2" x14ac:dyDescent="0.35">
      <c r="B554" s="57"/>
    </row>
    <row r="555" spans="2:2" x14ac:dyDescent="0.35">
      <c r="B555" s="57"/>
    </row>
    <row r="556" spans="2:2" x14ac:dyDescent="0.35">
      <c r="B556" s="57"/>
    </row>
    <row r="557" spans="2:2" x14ac:dyDescent="0.35">
      <c r="B557" s="57"/>
    </row>
    <row r="558" spans="2:2" x14ac:dyDescent="0.35">
      <c r="B558" s="57"/>
    </row>
    <row r="559" spans="2:2" x14ac:dyDescent="0.35">
      <c r="B559" s="57"/>
    </row>
    <row r="560" spans="2:2" x14ac:dyDescent="0.35">
      <c r="B560" s="57"/>
    </row>
    <row r="561" spans="2:2" x14ac:dyDescent="0.35">
      <c r="B561" s="57"/>
    </row>
    <row r="562" spans="2:2" x14ac:dyDescent="0.35">
      <c r="B562" s="57"/>
    </row>
    <row r="563" spans="2:2" x14ac:dyDescent="0.35">
      <c r="B563" s="57"/>
    </row>
    <row r="564" spans="2:2" x14ac:dyDescent="0.35">
      <c r="B564" s="57"/>
    </row>
    <row r="565" spans="2:2" x14ac:dyDescent="0.35">
      <c r="B565" s="57"/>
    </row>
    <row r="566" spans="2:2" x14ac:dyDescent="0.35">
      <c r="B566" s="57"/>
    </row>
    <row r="567" spans="2:2" x14ac:dyDescent="0.35">
      <c r="B567" s="57"/>
    </row>
    <row r="568" spans="2:2" x14ac:dyDescent="0.35">
      <c r="B568" s="57"/>
    </row>
  </sheetData>
  <sheetProtection formatRows="0" selectLockedCells="1"/>
  <dataConsolidate/>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79998168889431442"/>
    <pageSetUpPr fitToPage="1"/>
  </sheetPr>
  <dimension ref="A1:XFD41"/>
  <sheetViews>
    <sheetView showGridLines="0" tabSelected="1" zoomScale="175" zoomScaleNormal="175" workbookViewId="0">
      <selection activeCell="C4" sqref="C4"/>
    </sheetView>
  </sheetViews>
  <sheetFormatPr baseColWidth="10" defaultColWidth="0" defaultRowHeight="14" zeroHeight="1" x14ac:dyDescent="0.3"/>
  <cols>
    <col min="1" max="1" width="1.81640625" style="5" customWidth="1"/>
    <col min="2" max="2" width="34.1796875" style="13" customWidth="1"/>
    <col min="3" max="3" width="24.7265625" style="13" customWidth="1"/>
    <col min="4" max="4" width="19.26953125" style="13" customWidth="1"/>
    <col min="5" max="5" width="31.1796875" style="13" customWidth="1"/>
    <col min="6" max="6" width="0.1796875" style="5" customWidth="1"/>
    <col min="7" max="16383" width="8.81640625" style="5" hidden="1"/>
    <col min="16384" max="16384" width="5.453125" style="5" hidden="1" customWidth="1"/>
  </cols>
  <sheetData>
    <row r="1" spans="1:7 16384:16384" s="570" customFormat="1" ht="23.5" thickBot="1" x14ac:dyDescent="0.4">
      <c r="A1" s="597" t="str">
        <f ca="1">Tags!B54</f>
        <v>ESPA Award</v>
      </c>
      <c r="B1" s="598"/>
      <c r="C1" s="598"/>
      <c r="D1" s="599"/>
      <c r="E1"/>
      <c r="F1" s="5"/>
      <c r="G1" s="468"/>
      <c r="XFD1" s="5"/>
    </row>
    <row r="2" spans="1:7 16384:16384" ht="14.5" x14ac:dyDescent="0.35">
      <c r="B2" s="5"/>
      <c r="C2" s="5"/>
      <c r="E2"/>
    </row>
    <row r="3" spans="1:7 16384:16384" ht="15.5" x14ac:dyDescent="0.3">
      <c r="B3" s="134" t="str">
        <f ca="1">Tags!B4</f>
        <v>Datum</v>
      </c>
      <c r="C3" s="463">
        <f ca="1">NOW()</f>
        <v>46032.721061458331</v>
      </c>
      <c r="D3" s="5"/>
      <c r="E3" s="5"/>
    </row>
    <row r="4" spans="1:7 16384:16384" ht="15.5" x14ac:dyDescent="0.3">
      <c r="B4" s="134" t="str">
        <f ca="1">Tags!B5</f>
        <v>Sprache</v>
      </c>
      <c r="C4" s="462" t="s">
        <v>1326</v>
      </c>
      <c r="D4" s="5"/>
      <c r="E4" s="5"/>
    </row>
    <row r="5" spans="1:7 16384:16384" ht="15.5" x14ac:dyDescent="0.3">
      <c r="B5" s="134" t="str">
        <f ca="1">Tags!B6</f>
        <v>Land</v>
      </c>
      <c r="C5" s="462"/>
      <c r="D5" s="5"/>
      <c r="E5" s="5"/>
    </row>
    <row r="6" spans="1:7 16384:16384" ht="23" x14ac:dyDescent="0.3">
      <c r="C6" s="603" t="s">
        <v>83</v>
      </c>
      <c r="D6" s="603"/>
      <c r="E6" s="603"/>
    </row>
    <row r="7" spans="1:7 16384:16384" x14ac:dyDescent="0.3">
      <c r="B7" s="5"/>
      <c r="C7" s="5"/>
      <c r="D7" s="5"/>
      <c r="E7" s="5"/>
    </row>
    <row r="8" spans="1:7 16384:16384" ht="15.5" x14ac:dyDescent="0.3">
      <c r="B8" s="134" t="str">
        <f ca="1">Tags!B7</f>
        <v>Name der Parkeinrichtung</v>
      </c>
      <c r="C8" s="607"/>
      <c r="D8" s="608"/>
      <c r="E8" s="609"/>
    </row>
    <row r="9" spans="1:7 16384:16384" x14ac:dyDescent="0.3"/>
    <row r="10" spans="1:7 16384:16384" ht="15.5" x14ac:dyDescent="0.3">
      <c r="B10" s="134" t="str">
        <f ca="1">Tags!B8</f>
        <v>Adresse</v>
      </c>
      <c r="C10" s="610"/>
      <c r="D10" s="611"/>
      <c r="E10" s="612"/>
    </row>
    <row r="11" spans="1:7 16384:16384" x14ac:dyDescent="0.3">
      <c r="C11" s="613"/>
      <c r="D11" s="614"/>
      <c r="E11" s="615"/>
    </row>
    <row r="12" spans="1:7 16384:16384" x14ac:dyDescent="0.3"/>
    <row r="13" spans="1:7 16384:16384" ht="15.5" x14ac:dyDescent="0.3">
      <c r="B13" s="134" t="str">
        <f ca="1">Tags!B9</f>
        <v>Stadt</v>
      </c>
      <c r="C13" s="619"/>
      <c r="D13" s="620"/>
      <c r="E13" s="621"/>
    </row>
    <row r="14" spans="1:7 16384:16384" x14ac:dyDescent="0.3"/>
    <row r="15" spans="1:7 16384:16384" ht="19" customHeight="1" x14ac:dyDescent="0.3">
      <c r="B15" s="134" t="str">
        <f ca="1">Tags!B11</f>
        <v>Betreiber</v>
      </c>
      <c r="C15" s="616"/>
      <c r="D15" s="617"/>
      <c r="E15" s="618"/>
    </row>
    <row r="16" spans="1:7 16384:16384" ht="6" customHeight="1" x14ac:dyDescent="0.3"/>
    <row r="17" spans="2:5" ht="19" customHeight="1" x14ac:dyDescent="0.3">
      <c r="B17" s="134" t="str">
        <f ca="1">Tags!B12</f>
        <v>Kontaktperson</v>
      </c>
      <c r="C17" s="604"/>
      <c r="D17" s="605"/>
      <c r="E17" s="606"/>
    </row>
    <row r="18" spans="2:5" ht="6" customHeight="1" x14ac:dyDescent="0.3"/>
    <row r="19" spans="2:5" ht="19" customHeight="1" x14ac:dyDescent="0.3">
      <c r="B19" s="134" t="str">
        <f ca="1">Tags!B13</f>
        <v>E-Mail</v>
      </c>
      <c r="C19" s="102"/>
      <c r="D19" s="464" t="str">
        <f ca="1">Tags!B14</f>
        <v>Telefon</v>
      </c>
      <c r="E19" s="462"/>
    </row>
    <row r="20" spans="2:5" ht="6" customHeight="1" x14ac:dyDescent="0.3"/>
    <row r="21" spans="2:5" ht="20.25" customHeight="1" x14ac:dyDescent="0.3">
      <c r="B21" s="134" t="str">
        <f ca="1">Tags!B15</f>
        <v>Geprüft von</v>
      </c>
      <c r="C21" s="604"/>
      <c r="D21" s="605"/>
      <c r="E21" s="606"/>
    </row>
    <row r="22" spans="2:5" ht="7" customHeight="1" x14ac:dyDescent="0.3">
      <c r="B22" s="134"/>
      <c r="C22" s="145"/>
      <c r="D22" s="145"/>
      <c r="E22" s="145"/>
    </row>
    <row r="23" spans="2:5" ht="7" customHeight="1" x14ac:dyDescent="0.3"/>
    <row r="24" spans="2:5" ht="15.5" x14ac:dyDescent="0.3">
      <c r="B24" s="600" t="str">
        <f ca="1">Tags!B79</f>
        <v>Stammdaten Einrichtung</v>
      </c>
      <c r="C24" s="601"/>
      <c r="D24" s="601"/>
      <c r="E24" s="602"/>
    </row>
    <row r="25" spans="2:5" ht="6" customHeight="1" x14ac:dyDescent="0.3"/>
    <row r="26" spans="2:5" ht="15.5" x14ac:dyDescent="0.3">
      <c r="B26" s="134" t="str">
        <f ca="1">Tags!B73</f>
        <v>Baujahr</v>
      </c>
      <c r="C26" s="134"/>
      <c r="D26" s="622"/>
      <c r="E26" s="621"/>
    </row>
    <row r="27" spans="2:5" ht="6" customHeight="1" x14ac:dyDescent="0.3">
      <c r="D27" s="21"/>
    </row>
    <row r="28" spans="2:5" ht="15.5" x14ac:dyDescent="0.3">
      <c r="B28" s="134" t="str">
        <f ca="1">Tags!B10</f>
        <v>Anzahl der Stellplätze</v>
      </c>
      <c r="D28" s="622"/>
      <c r="E28" s="621"/>
    </row>
    <row r="29" spans="2:5" ht="6" customHeight="1" x14ac:dyDescent="0.3">
      <c r="D29" s="21"/>
    </row>
    <row r="30" spans="2:5" ht="15.5" x14ac:dyDescent="0.3">
      <c r="B30" s="134" t="str">
        <f ca="1">Tags!B78</f>
        <v>Anzahl Ebenen</v>
      </c>
      <c r="D30" s="622"/>
      <c r="E30" s="621"/>
    </row>
    <row r="31" spans="2:5" ht="6" customHeight="1" x14ac:dyDescent="0.3">
      <c r="D31" s="21"/>
    </row>
    <row r="32" spans="2:5" ht="15.5" x14ac:dyDescent="0.3">
      <c r="B32" s="134" t="str">
        <f ca="1">Tags!B77</f>
        <v>Anzahl Fahrstühle</v>
      </c>
      <c r="D32" s="622"/>
      <c r="E32" s="621"/>
    </row>
    <row r="33" spans="2:5" ht="6" customHeight="1" x14ac:dyDescent="0.3">
      <c r="D33" s="21"/>
    </row>
    <row r="34" spans="2:5" ht="15.5" x14ac:dyDescent="0.3">
      <c r="B34" s="134" t="str">
        <f ca="1">Tags!B74</f>
        <v>Bauart</v>
      </c>
      <c r="D34" s="623"/>
      <c r="E34" s="624"/>
    </row>
    <row r="35" spans="2:5" ht="6" customHeight="1" x14ac:dyDescent="0.3">
      <c r="D35" s="21"/>
    </row>
    <row r="36" spans="2:5" ht="15.5" x14ac:dyDescent="0.3">
      <c r="B36" s="134" t="str">
        <f ca="1">Tags!B75</f>
        <v>Typ</v>
      </c>
      <c r="D36" s="623"/>
      <c r="E36" s="624"/>
    </row>
    <row r="37" spans="2:5" ht="6" customHeight="1" x14ac:dyDescent="0.3">
      <c r="D37" s="21"/>
    </row>
    <row r="38" spans="2:5" ht="15.5" x14ac:dyDescent="0.3">
      <c r="B38" s="134" t="str">
        <f ca="1">Tags!B76</f>
        <v>Zutrittskontrolle</v>
      </c>
      <c r="D38" s="622"/>
      <c r="E38" s="621"/>
    </row>
    <row r="39" spans="2:5" ht="8.25" customHeight="1" x14ac:dyDescent="0.3">
      <c r="D39" s="21"/>
    </row>
    <row r="41" spans="2:5" ht="6" hidden="1" customHeight="1" x14ac:dyDescent="0.3"/>
  </sheetData>
  <sheetProtection algorithmName="SHA-512" hashValue="zlWbJWDv/jUnnmrp9lWv9ZH+Nbpoy5Ur52nYHLjaCAFmAScpd1imbQC8T4WEvJ8D+XL/UuQIjSxQ37oivj+EcA==" saltValue="5sFT1/plVLZZx8HD3zZl1w==" spinCount="100000" sheet="1" objects="1" scenarios="1" selectLockedCells="1"/>
  <mergeCells count="17">
    <mergeCell ref="D38:E38"/>
    <mergeCell ref="D32:E32"/>
    <mergeCell ref="D26:E26"/>
    <mergeCell ref="D36:E36"/>
    <mergeCell ref="D34:E34"/>
    <mergeCell ref="D30:E30"/>
    <mergeCell ref="D28:E28"/>
    <mergeCell ref="A1:D1"/>
    <mergeCell ref="B24:E24"/>
    <mergeCell ref="C6:E6"/>
    <mergeCell ref="C21:E21"/>
    <mergeCell ref="C8:E8"/>
    <mergeCell ref="C10:E10"/>
    <mergeCell ref="C11:E11"/>
    <mergeCell ref="C15:E15"/>
    <mergeCell ref="C17:E17"/>
    <mergeCell ref="C13:E13"/>
  </mergeCells>
  <phoneticPr fontId="24" type="noConversion"/>
  <dataValidations count="1">
    <dataValidation type="list" allowBlank="1" showInputMessage="1" showErrorMessage="1" sqref="C4" xr:uid="{00000000-0002-0000-0100-000000000000}">
      <formula1>LanguageRange</formula1>
    </dataValidation>
  </dataValidations>
  <printOptions horizontalCentered="1"/>
  <pageMargins left="0.71" right="0.71" top="0.75000000000000011" bottom="0.75000000000000011" header="0.31" footer="0.31"/>
  <pageSetup paperSize="9" orientation="landscape" horizontalDpi="300" verticalDpi="300" r:id="rId1"/>
  <headerFooter>
    <oddHeader>&amp;L&amp;"Calibri,Bold"&amp;K000000EPA - Checklist for the European Standard Parking Award</oddHeader>
    <oddFooter>&amp;L&amp;K000000[File]&amp;A</oddFooter>
  </headerFooter>
  <ignoredErrors>
    <ignoredError sqref="C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41" r:id="rId4" name="Button 17">
              <controlPr defaultSize="0" print="0" autoFill="0" autoPict="0" macro="[0]!Clear_All_Inputs">
                <anchor moveWithCells="1" sizeWithCells="1">
                  <from>
                    <xdr:col>3</xdr:col>
                    <xdr:colOff>114300</xdr:colOff>
                    <xdr:row>2</xdr:row>
                    <xdr:rowOff>0</xdr:rowOff>
                  </from>
                  <to>
                    <xdr:col>4</xdr:col>
                    <xdr:colOff>50800</xdr:colOff>
                    <xdr:row>2</xdr:row>
                    <xdr:rowOff>190500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Q332"/>
  <sheetViews>
    <sheetView topLeftCell="A188" zoomScale="150" workbookViewId="0">
      <selection activeCell="N153" sqref="N153"/>
    </sheetView>
  </sheetViews>
  <sheetFormatPr baseColWidth="10" defaultColWidth="10.81640625" defaultRowHeight="13" x14ac:dyDescent="0.35"/>
  <cols>
    <col min="1" max="1" width="9.453125" style="205" customWidth="1"/>
    <col min="2" max="2" width="38.26953125" style="205" customWidth="1"/>
    <col min="3" max="3" width="7.26953125" style="205" customWidth="1"/>
    <col min="4" max="4" width="40.1796875" style="205" customWidth="1"/>
    <col min="5" max="11" width="19.26953125" style="205" customWidth="1"/>
    <col min="12" max="16" width="10.81640625" style="205"/>
    <col min="17" max="17" width="10.81640625" style="401"/>
    <col min="18" max="16384" width="10.81640625" style="205"/>
  </cols>
  <sheetData>
    <row r="1" spans="1:17" ht="13.5" thickBot="1" x14ac:dyDescent="0.4">
      <c r="A1" s="548">
        <f>'Languages Available'!B1</f>
        <v>4</v>
      </c>
      <c r="B1" s="549" t="s">
        <v>1317</v>
      </c>
      <c r="C1" s="550"/>
      <c r="D1" s="551" t="str">
        <f>'General Info'!C4</f>
        <v>Deutsch</v>
      </c>
    </row>
    <row r="2" spans="1:17" x14ac:dyDescent="0.35">
      <c r="D2" s="205">
        <v>1</v>
      </c>
      <c r="E2" s="205">
        <v>2</v>
      </c>
      <c r="F2" s="205">
        <v>3</v>
      </c>
      <c r="G2" s="205">
        <v>4</v>
      </c>
      <c r="H2" s="205">
        <v>5</v>
      </c>
      <c r="I2" s="205">
        <v>6</v>
      </c>
      <c r="J2" s="205">
        <v>7</v>
      </c>
      <c r="K2" s="205">
        <v>8</v>
      </c>
    </row>
    <row r="3" spans="1:17" x14ac:dyDescent="0.35">
      <c r="B3" s="552" t="s">
        <v>1316</v>
      </c>
      <c r="D3" s="554" t="str">
        <f>VLOOKUP(D2,'Languages Available'!$A$3:$B$23,2)</f>
        <v>English</v>
      </c>
      <c r="E3" s="554" t="str">
        <f>VLOOKUP(E2,'Languages Available'!$A$3:$B$23,2)</f>
        <v>Dutch</v>
      </c>
      <c r="F3" s="554" t="str">
        <f>VLOOKUP(F2,'Languages Available'!$A$3:$B$23,2)</f>
        <v>Français</v>
      </c>
      <c r="G3" s="554" t="str">
        <f>VLOOKUP(G2,'Languages Available'!$A$3:$B$23,2)</f>
        <v>Deutsch</v>
      </c>
      <c r="H3" s="554" t="str">
        <f>VLOOKUP(H2,'Languages Available'!$A$3:$B$23,2)</f>
        <v>Portuguese</v>
      </c>
      <c r="I3" s="554" t="str">
        <f>VLOOKUP(I2,'Languages Available'!$A$3:$B$23,2)</f>
        <v>Turkish</v>
      </c>
      <c r="J3" s="554" t="str">
        <f>VLOOKUP(J2,'Languages Available'!$A$3:$B$23,2)</f>
        <v>Polish</v>
      </c>
      <c r="K3" s="554" t="str">
        <f>VLOOKUP(K2,'Languages Available'!$A$3:$B$23,2)</f>
        <v>Italian</v>
      </c>
    </row>
    <row r="4" spans="1:17" x14ac:dyDescent="0.35">
      <c r="A4" s="205">
        <f>C4</f>
        <v>1</v>
      </c>
      <c r="B4" s="206" t="str">
        <f>IF(ISBLANK(VLOOKUP(A4,$C$4:$V$9680,1+$A$1)),D4,VLOOKUP(A4,$C$4:$V$9680,1+$A$1))</f>
        <v>Morgen</v>
      </c>
      <c r="C4" s="205">
        <v>1</v>
      </c>
      <c r="D4" s="153" t="s">
        <v>456</v>
      </c>
      <c r="E4" s="153" t="s">
        <v>860</v>
      </c>
      <c r="F4" s="153" t="s">
        <v>1156</v>
      </c>
      <c r="G4" s="153" t="s">
        <v>1327</v>
      </c>
      <c r="H4" s="153" t="s">
        <v>2345</v>
      </c>
      <c r="I4" s="153" t="s">
        <v>3795</v>
      </c>
      <c r="J4" s="153" t="s">
        <v>4527</v>
      </c>
      <c r="K4" s="153" t="s">
        <v>4960</v>
      </c>
      <c r="Q4" s="401" t="s">
        <v>2853</v>
      </c>
    </row>
    <row r="5" spans="1:17" x14ac:dyDescent="0.35">
      <c r="A5" s="205">
        <f t="shared" ref="A5:A75" si="0">C5</f>
        <v>2</v>
      </c>
      <c r="B5" s="207" t="str">
        <f>IF(ISBLANK(VLOOKUP(A5,$C$4:$V$9680,1+$A$1)),D5,VLOOKUP(A5,$C$4:$V$9680,1+$A$1))</f>
        <v>Nachmittag</v>
      </c>
      <c r="C5" s="205">
        <f>+C4+1</f>
        <v>2</v>
      </c>
      <c r="D5" s="150" t="s">
        <v>457</v>
      </c>
      <c r="E5" s="150" t="s">
        <v>861</v>
      </c>
      <c r="F5" s="150" t="s">
        <v>1157</v>
      </c>
      <c r="G5" s="150" t="s">
        <v>1328</v>
      </c>
      <c r="H5" s="150" t="s">
        <v>2081</v>
      </c>
      <c r="I5" s="150" t="s">
        <v>3796</v>
      </c>
      <c r="J5" s="150" t="s">
        <v>4528</v>
      </c>
      <c r="K5" s="150" t="s">
        <v>4961</v>
      </c>
      <c r="Q5" s="401" t="s">
        <v>2853</v>
      </c>
    </row>
    <row r="6" spans="1:17" x14ac:dyDescent="0.35">
      <c r="A6" s="205">
        <f t="shared" si="0"/>
        <v>3</v>
      </c>
      <c r="B6" s="207" t="str">
        <f>IF(ISBLANK(VLOOKUP(A6,$C$4:$V$9680,1+$A$1)),D6,VLOOKUP(A6,$C$4:$V$9680,1+$A$1))</f>
        <v>Abend</v>
      </c>
      <c r="C6" s="205">
        <f t="shared" ref="C6:C74" si="1">+C5+1</f>
        <v>3</v>
      </c>
      <c r="D6" s="150" t="s">
        <v>458</v>
      </c>
      <c r="E6" s="150" t="s">
        <v>862</v>
      </c>
      <c r="F6" s="150" t="s">
        <v>1158</v>
      </c>
      <c r="G6" s="150" t="s">
        <v>1329</v>
      </c>
      <c r="H6" s="150" t="s">
        <v>2346</v>
      </c>
      <c r="I6" s="150" t="s">
        <v>3797</v>
      </c>
      <c r="J6" s="150" t="s">
        <v>4529</v>
      </c>
      <c r="K6" s="150" t="s">
        <v>4962</v>
      </c>
      <c r="Q6" s="401" t="s">
        <v>2853</v>
      </c>
    </row>
    <row r="7" spans="1:17" x14ac:dyDescent="0.35">
      <c r="A7" s="205">
        <f t="shared" si="0"/>
        <v>4</v>
      </c>
      <c r="B7" s="207"/>
      <c r="C7" s="205">
        <f t="shared" si="1"/>
        <v>4</v>
      </c>
      <c r="D7" s="150"/>
      <c r="E7" s="150"/>
      <c r="F7" s="150"/>
      <c r="G7" s="150"/>
      <c r="H7" s="150"/>
      <c r="I7" s="150"/>
      <c r="J7" s="150"/>
      <c r="K7" s="150"/>
      <c r="Q7" s="401" t="s">
        <v>2853</v>
      </c>
    </row>
    <row r="8" spans="1:17" x14ac:dyDescent="0.35">
      <c r="A8" s="205">
        <f t="shared" si="0"/>
        <v>5</v>
      </c>
      <c r="B8" s="207" t="str">
        <f>IF(ISBLANK(VLOOKUP(A8,$C$4:$V$9680,1+$A$1)),D8,VLOOKUP(A8,$C$4:$V$9680,1+$A$1))</f>
        <v>sonnig</v>
      </c>
      <c r="C8" s="205">
        <f t="shared" si="1"/>
        <v>5</v>
      </c>
      <c r="D8" s="150" t="s">
        <v>459</v>
      </c>
      <c r="E8" s="150" t="s">
        <v>783</v>
      </c>
      <c r="F8" s="150" t="s">
        <v>1159</v>
      </c>
      <c r="G8" s="150" t="s">
        <v>1330</v>
      </c>
      <c r="H8" s="150" t="s">
        <v>2347</v>
      </c>
      <c r="I8" s="150" t="s">
        <v>3798</v>
      </c>
      <c r="J8" s="150" t="s">
        <v>4530</v>
      </c>
      <c r="K8" s="150" t="s">
        <v>4963</v>
      </c>
      <c r="Q8" s="401" t="s">
        <v>2853</v>
      </c>
    </row>
    <row r="9" spans="1:17" x14ac:dyDescent="0.35">
      <c r="A9" s="205">
        <f t="shared" si="0"/>
        <v>6</v>
      </c>
      <c r="B9" s="207" t="str">
        <f>IF(ISBLANK(VLOOKUP(A9,$C$4:$V$9680,1+$A$1)),D9,VLOOKUP(A9,$C$4:$V$9680,1+$A$1))</f>
        <v>bewölkt</v>
      </c>
      <c r="C9" s="205">
        <f t="shared" si="1"/>
        <v>6</v>
      </c>
      <c r="D9" s="150" t="s">
        <v>460</v>
      </c>
      <c r="E9" s="150" t="s">
        <v>784</v>
      </c>
      <c r="F9" s="150" t="s">
        <v>1160</v>
      </c>
      <c r="G9" s="150" t="s">
        <v>1331</v>
      </c>
      <c r="H9" s="150" t="s">
        <v>2348</v>
      </c>
      <c r="I9" s="150" t="s">
        <v>3799</v>
      </c>
      <c r="J9" s="150" t="s">
        <v>4531</v>
      </c>
      <c r="K9" s="150" t="s">
        <v>4964</v>
      </c>
      <c r="Q9" s="401" t="s">
        <v>2853</v>
      </c>
    </row>
    <row r="10" spans="1:17" x14ac:dyDescent="0.35">
      <c r="A10" s="205">
        <f t="shared" si="0"/>
        <v>7</v>
      </c>
      <c r="B10" s="207" t="str">
        <f>IF(ISBLANK(VLOOKUP(A10,$C$4:$V$9680,1+$A$1)),D10,VLOOKUP(A10,$C$4:$V$9680,1+$A$1))</f>
        <v>Regen</v>
      </c>
      <c r="C10" s="205">
        <f t="shared" si="1"/>
        <v>7</v>
      </c>
      <c r="D10" s="150" t="s">
        <v>461</v>
      </c>
      <c r="E10" s="150" t="s">
        <v>785</v>
      </c>
      <c r="F10" s="150" t="s">
        <v>1161</v>
      </c>
      <c r="G10" s="150" t="s">
        <v>1332</v>
      </c>
      <c r="H10" s="150" t="s">
        <v>2349</v>
      </c>
      <c r="I10" s="150" t="s">
        <v>3800</v>
      </c>
      <c r="J10" s="150" t="s">
        <v>4532</v>
      </c>
      <c r="K10" s="150" t="s">
        <v>4965</v>
      </c>
      <c r="Q10" s="401" t="s">
        <v>2853</v>
      </c>
    </row>
    <row r="11" spans="1:17" x14ac:dyDescent="0.35">
      <c r="A11" s="205">
        <f t="shared" si="0"/>
        <v>8</v>
      </c>
      <c r="B11" s="207" t="str">
        <f>IF(ISBLANK(VLOOKUP(A11,$C$4:$V$9680,1+$A$1)),D11,VLOOKUP(A11,$C$4:$V$9680,1+$A$1))</f>
        <v>Dämmerung</v>
      </c>
      <c r="C11" s="205">
        <f t="shared" si="1"/>
        <v>8</v>
      </c>
      <c r="D11" s="150" t="s">
        <v>462</v>
      </c>
      <c r="E11" s="150" t="s">
        <v>786</v>
      </c>
      <c r="F11" s="150" t="s">
        <v>1162</v>
      </c>
      <c r="G11" s="150" t="s">
        <v>1333</v>
      </c>
      <c r="H11" s="150" t="s">
        <v>2350</v>
      </c>
      <c r="I11" s="150" t="s">
        <v>3801</v>
      </c>
      <c r="J11" s="150" t="s">
        <v>4533</v>
      </c>
      <c r="K11" s="150" t="s">
        <v>4966</v>
      </c>
      <c r="Q11" s="401" t="s">
        <v>2853</v>
      </c>
    </row>
    <row r="12" spans="1:17" x14ac:dyDescent="0.35">
      <c r="A12" s="205">
        <f t="shared" si="0"/>
        <v>9</v>
      </c>
      <c r="B12" s="207" t="str">
        <f>IF(ISBLANK(VLOOKUP(A12,$C$4:$V$9680,1+$A$1)),D12,VLOOKUP(A12,$C$4:$V$9680,1+$A$1))</f>
        <v>Nacht</v>
      </c>
      <c r="C12" s="205">
        <f t="shared" si="1"/>
        <v>9</v>
      </c>
      <c r="D12" s="150" t="s">
        <v>463</v>
      </c>
      <c r="E12" s="150" t="s">
        <v>787</v>
      </c>
      <c r="F12" s="150" t="s">
        <v>1163</v>
      </c>
      <c r="G12" s="150" t="s">
        <v>1334</v>
      </c>
      <c r="H12" s="150" t="s">
        <v>2346</v>
      </c>
      <c r="I12" s="150" t="s">
        <v>3802</v>
      </c>
      <c r="J12" s="150" t="s">
        <v>4534</v>
      </c>
      <c r="K12" s="150" t="s">
        <v>4967</v>
      </c>
      <c r="Q12" s="401" t="s">
        <v>2853</v>
      </c>
    </row>
    <row r="13" spans="1:17" x14ac:dyDescent="0.35">
      <c r="A13" s="205">
        <f t="shared" si="0"/>
        <v>10</v>
      </c>
      <c r="B13" s="207"/>
      <c r="C13" s="205">
        <f t="shared" si="1"/>
        <v>10</v>
      </c>
      <c r="D13" s="150"/>
      <c r="E13" s="150"/>
      <c r="F13" s="150"/>
      <c r="G13" s="150"/>
      <c r="H13" s="150"/>
      <c r="I13" s="150"/>
      <c r="J13" s="150"/>
      <c r="K13" s="150"/>
      <c r="Q13" s="401" t="s">
        <v>2853</v>
      </c>
    </row>
    <row r="14" spans="1:17" x14ac:dyDescent="0.35">
      <c r="A14" s="205">
        <f t="shared" si="0"/>
        <v>11</v>
      </c>
      <c r="B14" s="207" t="str">
        <f>IF(ISBLANK(VLOOKUP(A14,$C$4:$V$9680,1+$A$1)),D14,VLOOKUP(A14,$C$4:$V$9680,1+$A$1))</f>
        <v>Mehr als 25 %</v>
      </c>
      <c r="C14" s="205">
        <f t="shared" si="1"/>
        <v>11</v>
      </c>
      <c r="D14" s="150" t="s">
        <v>464</v>
      </c>
      <c r="E14" s="150" t="s">
        <v>4107</v>
      </c>
      <c r="F14" s="150" t="s">
        <v>4068</v>
      </c>
      <c r="G14" s="150" t="s">
        <v>4144</v>
      </c>
      <c r="H14" s="150" t="s">
        <v>4145</v>
      </c>
      <c r="I14" s="150" t="s">
        <v>4147</v>
      </c>
      <c r="J14" s="150" t="s">
        <v>464</v>
      </c>
      <c r="K14" s="150" t="s">
        <v>464</v>
      </c>
      <c r="Q14" s="401" t="s">
        <v>2853</v>
      </c>
    </row>
    <row r="15" spans="1:17" x14ac:dyDescent="0.35">
      <c r="A15" s="205">
        <f t="shared" si="0"/>
        <v>12</v>
      </c>
      <c r="B15" s="207" t="str">
        <f>IF(ISBLANK(VLOOKUP(A15,$C$4:$V$9680,1+$A$1)),D15,VLOOKUP(A15,$C$4:$V$9680,1+$A$1))</f>
        <v xml:space="preserve"> 50% - 75%</v>
      </c>
      <c r="C15" s="205">
        <f t="shared" si="1"/>
        <v>12</v>
      </c>
      <c r="D15" s="150" t="s">
        <v>466</v>
      </c>
      <c r="E15" s="150" t="s">
        <v>466</v>
      </c>
      <c r="F15" s="150" t="s">
        <v>4069</v>
      </c>
      <c r="G15" s="150" t="s">
        <v>466</v>
      </c>
      <c r="H15" s="150" t="s">
        <v>466</v>
      </c>
      <c r="I15" s="150" t="s">
        <v>3803</v>
      </c>
      <c r="J15" s="150" t="s">
        <v>466</v>
      </c>
      <c r="K15" s="150" t="s">
        <v>466</v>
      </c>
      <c r="Q15" s="401" t="s">
        <v>2853</v>
      </c>
    </row>
    <row r="16" spans="1:17" x14ac:dyDescent="0.35">
      <c r="A16" s="205">
        <f t="shared" si="0"/>
        <v>13</v>
      </c>
      <c r="B16" s="207" t="str">
        <f>IF(ISBLANK(VLOOKUP(A16,$C$4:$V$9680,1+$A$1)),D16,VLOOKUP(A16,$C$4:$V$9680,1+$A$1))</f>
        <v>etwa 50%</v>
      </c>
      <c r="C16" s="205">
        <f t="shared" si="1"/>
        <v>13</v>
      </c>
      <c r="D16" s="150" t="s">
        <v>467</v>
      </c>
      <c r="E16" s="150" t="s">
        <v>788</v>
      </c>
      <c r="F16" s="150" t="s">
        <v>1164</v>
      </c>
      <c r="G16" s="150" t="s">
        <v>1335</v>
      </c>
      <c r="H16" s="150" t="s">
        <v>2351</v>
      </c>
      <c r="I16" s="150" t="s">
        <v>3804</v>
      </c>
      <c r="J16" s="150" t="s">
        <v>4535</v>
      </c>
      <c r="K16" s="150" t="s">
        <v>4968</v>
      </c>
      <c r="Q16" s="401" t="s">
        <v>2853</v>
      </c>
    </row>
    <row r="17" spans="1:17" x14ac:dyDescent="0.35">
      <c r="A17" s="205">
        <f t="shared" si="0"/>
        <v>14</v>
      </c>
      <c r="B17" s="207" t="str">
        <f>IF(ISBLANK(VLOOKUP(A17,$C$4:$V$9680,1+$A$1)),D17,VLOOKUP(A17,$C$4:$V$9680,1+$A$1))</f>
        <v xml:space="preserve"> 25% - 50%</v>
      </c>
      <c r="C17" s="205">
        <f t="shared" si="1"/>
        <v>14</v>
      </c>
      <c r="D17" s="150" t="s">
        <v>468</v>
      </c>
      <c r="E17" s="150" t="s">
        <v>468</v>
      </c>
      <c r="F17" s="150" t="s">
        <v>4070</v>
      </c>
      <c r="G17" s="150" t="s">
        <v>1336</v>
      </c>
      <c r="H17" s="150" t="s">
        <v>468</v>
      </c>
      <c r="I17" s="150" t="s">
        <v>3805</v>
      </c>
      <c r="J17" s="150" t="s">
        <v>1336</v>
      </c>
      <c r="K17" s="150" t="s">
        <v>1336</v>
      </c>
      <c r="Q17" s="401" t="s">
        <v>2853</v>
      </c>
    </row>
    <row r="18" spans="1:17" x14ac:dyDescent="0.35">
      <c r="A18" s="205">
        <f t="shared" si="0"/>
        <v>15</v>
      </c>
      <c r="B18" s="207" t="str">
        <f>IF(ISBLANK(VLOOKUP(A18,$C$4:$V$9680,1+$A$1)),D18,VLOOKUP(A18,$C$4:$V$9680,1+$A$1))</f>
        <v>Weniger als 25 %</v>
      </c>
      <c r="C18" s="205">
        <f t="shared" si="1"/>
        <v>15</v>
      </c>
      <c r="D18" s="150" t="s">
        <v>465</v>
      </c>
      <c r="E18" s="150" t="s">
        <v>4108</v>
      </c>
      <c r="F18" s="150" t="s">
        <v>4071</v>
      </c>
      <c r="G18" s="150" t="s">
        <v>4143</v>
      </c>
      <c r="H18" s="150" t="s">
        <v>4146</v>
      </c>
      <c r="I18" s="150" t="s">
        <v>4148</v>
      </c>
      <c r="J18" s="150" t="s">
        <v>465</v>
      </c>
      <c r="K18" s="150" t="s">
        <v>465</v>
      </c>
      <c r="Q18" s="401" t="s">
        <v>2853</v>
      </c>
    </row>
    <row r="19" spans="1:17" x14ac:dyDescent="0.35">
      <c r="A19" s="205">
        <f t="shared" si="0"/>
        <v>16</v>
      </c>
      <c r="B19" s="207"/>
      <c r="C19" s="205">
        <f t="shared" si="1"/>
        <v>16</v>
      </c>
      <c r="D19" s="150"/>
      <c r="E19" s="150"/>
      <c r="F19" s="150"/>
      <c r="G19" s="150"/>
      <c r="H19" s="150"/>
      <c r="I19" s="150"/>
      <c r="J19" s="150"/>
      <c r="K19" s="150"/>
      <c r="Q19" s="401" t="s">
        <v>2853</v>
      </c>
    </row>
    <row r="20" spans="1:17" x14ac:dyDescent="0.35">
      <c r="A20" s="205">
        <f t="shared" si="0"/>
        <v>17</v>
      </c>
      <c r="B20" s="207" t="str">
        <f>IF(ISBLANK(VLOOKUP(A20,$C$4:$V$9680,1+$A$1)),D20,VLOOKUP(A20,$C$4:$V$9680,1+$A$1))</f>
        <v>OK</v>
      </c>
      <c r="C20" s="205">
        <f t="shared" si="1"/>
        <v>17</v>
      </c>
      <c r="D20" s="150" t="s">
        <v>115</v>
      </c>
      <c r="E20" s="150" t="s">
        <v>789</v>
      </c>
      <c r="F20" s="150" t="s">
        <v>1165</v>
      </c>
      <c r="G20" s="150" t="s">
        <v>115</v>
      </c>
      <c r="H20" s="150" t="s">
        <v>115</v>
      </c>
      <c r="I20" s="150" t="s">
        <v>115</v>
      </c>
      <c r="J20" s="150" t="s">
        <v>115</v>
      </c>
      <c r="K20" s="150" t="s">
        <v>115</v>
      </c>
      <c r="Q20" s="401" t="s">
        <v>2853</v>
      </c>
    </row>
    <row r="21" spans="1:17" x14ac:dyDescent="0.35">
      <c r="A21" s="205">
        <f t="shared" si="0"/>
        <v>18</v>
      </c>
      <c r="B21" s="207" t="str">
        <f>IF(ISBLANK(VLOOKUP(A21,$C$4:$V$9680,1+$A$1)),D21,VLOOKUP(A21,$C$4:$V$9680,1+$A$1))</f>
        <v>Mangel</v>
      </c>
      <c r="C21" s="205">
        <f t="shared" si="1"/>
        <v>18</v>
      </c>
      <c r="D21" s="150" t="s">
        <v>116</v>
      </c>
      <c r="E21" s="150" t="s">
        <v>790</v>
      </c>
      <c r="F21" s="150" t="s">
        <v>1166</v>
      </c>
      <c r="G21" s="150" t="s">
        <v>1337</v>
      </c>
      <c r="H21" s="150" t="s">
        <v>2352</v>
      </c>
      <c r="I21" s="150" t="s">
        <v>3806</v>
      </c>
      <c r="J21" s="150" t="s">
        <v>4483</v>
      </c>
      <c r="K21" s="150" t="s">
        <v>4969</v>
      </c>
      <c r="Q21" s="401" t="s">
        <v>2853</v>
      </c>
    </row>
    <row r="22" spans="1:17" x14ac:dyDescent="0.35">
      <c r="A22" s="205">
        <f t="shared" si="0"/>
        <v>19</v>
      </c>
      <c r="B22" s="207"/>
      <c r="C22" s="205">
        <f t="shared" si="1"/>
        <v>19</v>
      </c>
      <c r="D22" s="150"/>
      <c r="E22" s="150"/>
      <c r="F22" s="150"/>
      <c r="G22" s="150"/>
      <c r="H22" s="150"/>
      <c r="I22" s="150"/>
      <c r="J22" s="150"/>
      <c r="K22" s="150"/>
      <c r="Q22" s="401" t="s">
        <v>2853</v>
      </c>
    </row>
    <row r="23" spans="1:17" x14ac:dyDescent="0.35">
      <c r="A23" s="205">
        <f t="shared" si="0"/>
        <v>20</v>
      </c>
      <c r="B23" s="207" t="str">
        <f>IF(ISBLANK(VLOOKUP(A23,$C$4:$V$9680,1+$A$1)),D23,VLOOKUP(A23,$C$4:$V$9680,1+$A$1))</f>
        <v>Ja</v>
      </c>
      <c r="C23" s="205">
        <f t="shared" si="1"/>
        <v>20</v>
      </c>
      <c r="D23" s="150" t="s">
        <v>130</v>
      </c>
      <c r="E23" s="150" t="s">
        <v>791</v>
      </c>
      <c r="F23" s="150" t="s">
        <v>1167</v>
      </c>
      <c r="G23" s="150" t="s">
        <v>791</v>
      </c>
      <c r="H23" s="150" t="s">
        <v>2353</v>
      </c>
      <c r="I23" s="150" t="s">
        <v>3807</v>
      </c>
      <c r="J23" s="150" t="s">
        <v>4536</v>
      </c>
      <c r="K23" s="150" t="s">
        <v>4970</v>
      </c>
      <c r="Q23" s="401" t="s">
        <v>2853</v>
      </c>
    </row>
    <row r="24" spans="1:17" x14ac:dyDescent="0.35">
      <c r="A24" s="205">
        <f t="shared" si="0"/>
        <v>21</v>
      </c>
      <c r="B24" s="207" t="str">
        <f>IF(ISBLANK(VLOOKUP(A24,$C$4:$V$9680,1+$A$1)),D24,VLOOKUP(A24,$C$4:$V$9680,1+$A$1))</f>
        <v>Nein</v>
      </c>
      <c r="C24" s="205">
        <f t="shared" si="1"/>
        <v>21</v>
      </c>
      <c r="D24" s="150" t="s">
        <v>131</v>
      </c>
      <c r="E24" s="150" t="s">
        <v>792</v>
      </c>
      <c r="F24" s="150" t="s">
        <v>1168</v>
      </c>
      <c r="G24" s="150" t="s">
        <v>1338</v>
      </c>
      <c r="H24" s="150" t="s">
        <v>2354</v>
      </c>
      <c r="I24" s="150" t="s">
        <v>3808</v>
      </c>
      <c r="J24" s="150" t="s">
        <v>4483</v>
      </c>
      <c r="K24" s="150" t="s">
        <v>131</v>
      </c>
      <c r="Q24" s="401" t="s">
        <v>2853</v>
      </c>
    </row>
    <row r="25" spans="1:17" x14ac:dyDescent="0.35">
      <c r="A25" s="205">
        <f t="shared" si="0"/>
        <v>22</v>
      </c>
      <c r="B25" s="207" t="str">
        <f>IF(ISBLANK(VLOOKUP(A25,$C$4:$V$9680,1+$A$1)),D25,VLOOKUP(A25,$C$4:$V$9680,1+$A$1))</f>
        <v>unzutreffend</v>
      </c>
      <c r="C25" s="205">
        <f t="shared" si="1"/>
        <v>22</v>
      </c>
      <c r="D25" s="150" t="s">
        <v>211</v>
      </c>
      <c r="E25" s="150" t="s">
        <v>211</v>
      </c>
      <c r="F25" s="150" t="s">
        <v>1169</v>
      </c>
      <c r="G25" s="150" t="s">
        <v>1339</v>
      </c>
      <c r="H25" s="150" t="s">
        <v>2355</v>
      </c>
      <c r="I25" s="150" t="s">
        <v>3809</v>
      </c>
      <c r="J25" s="150" t="s">
        <v>4537</v>
      </c>
      <c r="K25" s="150" t="s">
        <v>4971</v>
      </c>
      <c r="Q25" s="401" t="s">
        <v>2853</v>
      </c>
    </row>
    <row r="26" spans="1:17" x14ac:dyDescent="0.35">
      <c r="A26" s="205">
        <f t="shared" si="0"/>
        <v>23</v>
      </c>
      <c r="B26" s="207"/>
      <c r="C26" s="205">
        <f t="shared" si="1"/>
        <v>23</v>
      </c>
      <c r="D26" s="150"/>
      <c r="E26" s="150"/>
      <c r="F26" s="150"/>
      <c r="G26" s="150"/>
      <c r="H26" s="150"/>
      <c r="I26" s="150"/>
      <c r="J26" s="150"/>
      <c r="K26" s="150"/>
    </row>
    <row r="27" spans="1:17" ht="26" x14ac:dyDescent="0.35">
      <c r="A27" s="205">
        <f t="shared" si="0"/>
        <v>24</v>
      </c>
      <c r="B27" s="207" t="str">
        <f>IF(ISBLANK(VLOOKUP(A27,$C$4:$V$9680,1+$A$1)),D27,VLOOKUP(A27,$C$4:$V$9680,1+$A$1))</f>
        <v>verständliche Beschilderung</v>
      </c>
      <c r="C27" s="205">
        <f>+C26+1</f>
        <v>24</v>
      </c>
      <c r="D27" s="150" t="s">
        <v>213</v>
      </c>
      <c r="E27" s="150" t="s">
        <v>793</v>
      </c>
      <c r="F27" s="150" t="s">
        <v>1170</v>
      </c>
      <c r="G27" s="150" t="s">
        <v>1340</v>
      </c>
      <c r="H27" s="150" t="s">
        <v>2432</v>
      </c>
      <c r="I27" s="150" t="s">
        <v>3810</v>
      </c>
      <c r="J27" s="150" t="s">
        <v>4538</v>
      </c>
      <c r="K27" s="150" t="s">
        <v>4972</v>
      </c>
      <c r="Q27" s="401" t="s">
        <v>2853</v>
      </c>
    </row>
    <row r="28" spans="1:17" ht="26" x14ac:dyDescent="0.35">
      <c r="A28" s="205">
        <f t="shared" si="0"/>
        <v>25</v>
      </c>
      <c r="B28" s="207" t="str">
        <f>IF(ISBLANK(VLOOKUP(A28,$C$4:$V$9680,1+$A$1)),D28,VLOOKUP(A28,$C$4:$V$9680,1+$A$1))</f>
        <v>unvollständige Beschilderung</v>
      </c>
      <c r="C28" s="205">
        <f t="shared" si="1"/>
        <v>25</v>
      </c>
      <c r="D28" s="150" t="s">
        <v>214</v>
      </c>
      <c r="E28" s="150" t="s">
        <v>794</v>
      </c>
      <c r="F28" s="150" t="s">
        <v>1171</v>
      </c>
      <c r="G28" s="150" t="s">
        <v>1341</v>
      </c>
      <c r="H28" s="150" t="s">
        <v>2356</v>
      </c>
      <c r="I28" s="150" t="s">
        <v>3811</v>
      </c>
      <c r="J28" s="150" t="s">
        <v>4539</v>
      </c>
      <c r="K28" s="150" t="s">
        <v>4973</v>
      </c>
      <c r="Q28" s="401" t="s">
        <v>2853</v>
      </c>
    </row>
    <row r="29" spans="1:17" x14ac:dyDescent="0.35">
      <c r="A29" s="205">
        <f t="shared" si="0"/>
        <v>26</v>
      </c>
      <c r="B29" s="207" t="str">
        <f>IF(ISBLANK(VLOOKUP(A29,$C$4:$V$9680,1+$A$1)),D29,VLOOKUP(A29,$C$4:$V$9680,1+$A$1))</f>
        <v>keine Beschilderung</v>
      </c>
      <c r="C29" s="205">
        <f t="shared" si="1"/>
        <v>26</v>
      </c>
      <c r="D29" s="150" t="s">
        <v>215</v>
      </c>
      <c r="E29" s="150" t="s">
        <v>795</v>
      </c>
      <c r="F29" s="150" t="s">
        <v>1172</v>
      </c>
      <c r="G29" s="150" t="s">
        <v>1342</v>
      </c>
      <c r="H29" s="150" t="s">
        <v>2357</v>
      </c>
      <c r="I29" s="150" t="s">
        <v>3812</v>
      </c>
      <c r="J29" s="150" t="s">
        <v>4540</v>
      </c>
      <c r="K29" s="150" t="s">
        <v>4974</v>
      </c>
      <c r="Q29" s="401" t="s">
        <v>2853</v>
      </c>
    </row>
    <row r="30" spans="1:17" x14ac:dyDescent="0.35">
      <c r="A30" s="205">
        <f t="shared" si="0"/>
        <v>27</v>
      </c>
      <c r="B30" s="207"/>
      <c r="C30" s="205">
        <f t="shared" si="1"/>
        <v>27</v>
      </c>
      <c r="D30" s="150"/>
      <c r="E30" s="150"/>
      <c r="F30" s="150"/>
      <c r="G30" s="150"/>
      <c r="H30" s="150"/>
      <c r="I30" s="150"/>
      <c r="J30" s="150"/>
      <c r="K30" s="150"/>
      <c r="Q30" s="401" t="s">
        <v>2853</v>
      </c>
    </row>
    <row r="31" spans="1:17" x14ac:dyDescent="0.35">
      <c r="A31" s="205">
        <f t="shared" si="0"/>
        <v>28</v>
      </c>
      <c r="B31" s="207" t="str">
        <f>IF(ISBLANK(VLOOKUP(A31,$C$4:$V$9680,1+$A$1)),D31,VLOOKUP(A31,$C$4:$V$9680,1+$A$1))</f>
        <v>0% - 2%</v>
      </c>
      <c r="C31" s="205">
        <f t="shared" si="1"/>
        <v>28</v>
      </c>
      <c r="D31" s="150" t="s">
        <v>217</v>
      </c>
      <c r="E31" s="150" t="s">
        <v>217</v>
      </c>
      <c r="F31" s="150" t="s">
        <v>1173</v>
      </c>
      <c r="G31" s="150" t="s">
        <v>5322</v>
      </c>
      <c r="H31" s="150" t="s">
        <v>217</v>
      </c>
      <c r="I31" s="150" t="s">
        <v>3813</v>
      </c>
      <c r="J31" s="150" t="s">
        <v>217</v>
      </c>
      <c r="K31" s="150" t="s">
        <v>217</v>
      </c>
      <c r="Q31" s="401" t="s">
        <v>2853</v>
      </c>
    </row>
    <row r="32" spans="1:17" x14ac:dyDescent="0.35">
      <c r="A32" s="205">
        <f t="shared" si="0"/>
        <v>29</v>
      </c>
      <c r="B32" s="207" t="str">
        <f>IF(ISBLANK(VLOOKUP(A32,$C$4:$V$9680,1+$A$1)),D32,VLOOKUP(A32,$C$4:$V$9680,1+$A$1))</f>
        <v>2% - 5%</v>
      </c>
      <c r="C32" s="205">
        <f t="shared" si="1"/>
        <v>29</v>
      </c>
      <c r="D32" s="150" t="s">
        <v>218</v>
      </c>
      <c r="E32" s="150" t="s">
        <v>218</v>
      </c>
      <c r="F32" s="150" t="s">
        <v>1174</v>
      </c>
      <c r="G32" s="150" t="s">
        <v>5323</v>
      </c>
      <c r="H32" s="150" t="s">
        <v>218</v>
      </c>
      <c r="I32" s="150" t="s">
        <v>3814</v>
      </c>
      <c r="J32" s="150" t="s">
        <v>218</v>
      </c>
      <c r="K32" s="150" t="s">
        <v>218</v>
      </c>
      <c r="Q32" s="401" t="s">
        <v>2853</v>
      </c>
    </row>
    <row r="33" spans="1:17" x14ac:dyDescent="0.35">
      <c r="A33" s="205">
        <f t="shared" si="0"/>
        <v>30</v>
      </c>
      <c r="B33" s="207" t="str">
        <f>IF(ISBLANK(VLOOKUP(A33,$C$4:$V$9680,1+$A$1)),D33,VLOOKUP(A33,$C$4:$V$9680,1+$A$1))</f>
        <v>über 5%</v>
      </c>
      <c r="C33" s="205">
        <f t="shared" si="1"/>
        <v>30</v>
      </c>
      <c r="D33" s="150" t="s">
        <v>216</v>
      </c>
      <c r="E33" s="150" t="s">
        <v>4109</v>
      </c>
      <c r="F33" s="150" t="s">
        <v>1175</v>
      </c>
      <c r="G33" s="150" t="s">
        <v>1343</v>
      </c>
      <c r="H33" s="150" t="s">
        <v>2358</v>
      </c>
      <c r="I33" s="150" t="s">
        <v>3815</v>
      </c>
      <c r="J33" s="150" t="s">
        <v>4541</v>
      </c>
      <c r="K33" s="150" t="s">
        <v>4975</v>
      </c>
      <c r="Q33" s="401" t="s">
        <v>2853</v>
      </c>
    </row>
    <row r="34" spans="1:17" x14ac:dyDescent="0.35">
      <c r="A34" s="205">
        <f t="shared" si="0"/>
        <v>31</v>
      </c>
      <c r="B34" s="207"/>
      <c r="C34" s="205">
        <f t="shared" si="1"/>
        <v>31</v>
      </c>
      <c r="D34" s="150"/>
      <c r="E34" s="150"/>
      <c r="F34" s="150"/>
      <c r="G34" s="150"/>
      <c r="H34" s="150"/>
      <c r="I34" s="150"/>
      <c r="J34" s="150"/>
      <c r="K34" s="150"/>
      <c r="Q34" s="401" t="s">
        <v>2853</v>
      </c>
    </row>
    <row r="35" spans="1:17" x14ac:dyDescent="0.35">
      <c r="A35" s="205">
        <f t="shared" si="0"/>
        <v>32</v>
      </c>
      <c r="B35" s="207" t="str">
        <f>IF(ISBLANK(VLOOKUP(A35,$C$4:$V$9680,1+$A$1)),D35,VLOOKUP(A35,$C$4:$V$9680,1+$A$1))</f>
        <v>Ja</v>
      </c>
      <c r="C35" s="205">
        <f t="shared" si="1"/>
        <v>32</v>
      </c>
      <c r="D35" s="150" t="s">
        <v>219</v>
      </c>
      <c r="E35" s="150" t="s">
        <v>791</v>
      </c>
      <c r="F35" s="150" t="s">
        <v>1167</v>
      </c>
      <c r="G35" s="150" t="s">
        <v>791</v>
      </c>
      <c r="H35" s="150" t="s">
        <v>2353</v>
      </c>
      <c r="I35" s="150" t="s">
        <v>3807</v>
      </c>
      <c r="J35" s="150" t="s">
        <v>4542</v>
      </c>
      <c r="K35" s="150" t="s">
        <v>4970</v>
      </c>
      <c r="Q35" s="401" t="s">
        <v>2853</v>
      </c>
    </row>
    <row r="36" spans="1:17" ht="26" x14ac:dyDescent="0.35">
      <c r="A36" s="205">
        <f t="shared" si="0"/>
        <v>33</v>
      </c>
      <c r="B36" s="207" t="str">
        <f>IF(ISBLANK(VLOOKUP(A36,$C$4:$V$9680,1+$A$1)),D36,VLOOKUP(A36,$C$4:$V$9680,1+$A$1))</f>
        <v>kein Schutz</v>
      </c>
      <c r="C36" s="205">
        <f t="shared" si="1"/>
        <v>33</v>
      </c>
      <c r="D36" s="150" t="s">
        <v>220</v>
      </c>
      <c r="E36" s="150" t="s">
        <v>796</v>
      </c>
      <c r="F36" s="150" t="s">
        <v>1176</v>
      </c>
      <c r="G36" s="150" t="s">
        <v>1344</v>
      </c>
      <c r="H36" s="150" t="s">
        <v>2359</v>
      </c>
      <c r="I36" s="150" t="s">
        <v>3816</v>
      </c>
      <c r="J36" s="150" t="s">
        <v>4543</v>
      </c>
      <c r="K36" s="150" t="s">
        <v>4976</v>
      </c>
      <c r="Q36" s="401" t="s">
        <v>2853</v>
      </c>
    </row>
    <row r="37" spans="1:17" ht="39" x14ac:dyDescent="0.35">
      <c r="A37" s="205">
        <f t="shared" si="0"/>
        <v>34</v>
      </c>
      <c r="B37" s="207" t="str">
        <f>IF(ISBLANK(VLOOKUP(A37,$C$4:$V$9680,1+$A$1)),D37,VLOOKUP(A37,$C$4:$V$9680,1+$A$1))</f>
        <v>Keine Schrammborde im Ein-/Ausfahrtsbereich</v>
      </c>
      <c r="C37" s="205">
        <f t="shared" si="1"/>
        <v>34</v>
      </c>
      <c r="D37" s="150" t="s">
        <v>221</v>
      </c>
      <c r="E37" s="150" t="s">
        <v>797</v>
      </c>
      <c r="F37" s="150" t="s">
        <v>4072</v>
      </c>
      <c r="G37" s="150" t="s">
        <v>1345</v>
      </c>
      <c r="H37" s="150" t="s">
        <v>2433</v>
      </c>
      <c r="I37" s="150" t="s">
        <v>3817</v>
      </c>
      <c r="J37" s="150" t="s">
        <v>4544</v>
      </c>
      <c r="K37" s="150" t="s">
        <v>4977</v>
      </c>
      <c r="Q37" s="401" t="s">
        <v>2853</v>
      </c>
    </row>
    <row r="38" spans="1:17" x14ac:dyDescent="0.35">
      <c r="A38" s="205">
        <f t="shared" si="0"/>
        <v>35</v>
      </c>
      <c r="B38" s="207"/>
      <c r="C38" s="205">
        <f t="shared" si="1"/>
        <v>35</v>
      </c>
      <c r="D38" s="150"/>
      <c r="E38" s="150"/>
      <c r="F38" s="150"/>
      <c r="G38" s="150"/>
      <c r="H38" s="150"/>
      <c r="I38" s="150"/>
      <c r="J38" s="150"/>
      <c r="K38" s="150"/>
      <c r="Q38" s="401" t="s">
        <v>2853</v>
      </c>
    </row>
    <row r="39" spans="1:17" x14ac:dyDescent="0.35">
      <c r="A39" s="205">
        <f t="shared" si="0"/>
        <v>36</v>
      </c>
      <c r="B39" s="207" t="str">
        <f>IF(ISBLANK(VLOOKUP(A39,$C$4:$V$9680,1+$A$1)),D39,VLOOKUP(A39,$C$4:$V$9680,1+$A$1))</f>
        <v>rutschhemmend</v>
      </c>
      <c r="C39" s="205">
        <f t="shared" si="1"/>
        <v>36</v>
      </c>
      <c r="D39" s="150" t="s">
        <v>223</v>
      </c>
      <c r="E39" s="150" t="s">
        <v>223</v>
      </c>
      <c r="F39" s="150" t="s">
        <v>1177</v>
      </c>
      <c r="G39" s="150" t="s">
        <v>1346</v>
      </c>
      <c r="H39" s="150" t="s">
        <v>2360</v>
      </c>
      <c r="I39" s="150" t="s">
        <v>3818</v>
      </c>
      <c r="J39" s="150" t="s">
        <v>4545</v>
      </c>
      <c r="K39" s="150" t="s">
        <v>4978</v>
      </c>
      <c r="Q39" s="401" t="s">
        <v>2853</v>
      </c>
    </row>
    <row r="40" spans="1:17" ht="26" x14ac:dyDescent="0.35">
      <c r="A40" s="205">
        <f t="shared" si="0"/>
        <v>37</v>
      </c>
      <c r="B40" s="207" t="str">
        <f>IF(ISBLANK(VLOOKUP(A40,$C$4:$V$9680,1+$A$1)),D40,VLOOKUP(A40,$C$4:$V$9680,1+$A$1))</f>
        <v>rutschig, wenn nass</v>
      </c>
      <c r="C40" s="205">
        <f t="shared" si="1"/>
        <v>37</v>
      </c>
      <c r="D40" s="150" t="s">
        <v>224</v>
      </c>
      <c r="E40" s="150" t="s">
        <v>798</v>
      </c>
      <c r="F40" s="150" t="s">
        <v>1178</v>
      </c>
      <c r="G40" s="150" t="s">
        <v>5324</v>
      </c>
      <c r="H40" s="150" t="s">
        <v>2361</v>
      </c>
      <c r="I40" s="150" t="s">
        <v>3819</v>
      </c>
      <c r="J40" s="150" t="s">
        <v>4546</v>
      </c>
      <c r="K40" s="150" t="s">
        <v>4979</v>
      </c>
      <c r="Q40" s="401" t="s">
        <v>2853</v>
      </c>
    </row>
    <row r="41" spans="1:17" x14ac:dyDescent="0.35">
      <c r="A41" s="205">
        <f t="shared" si="0"/>
        <v>38</v>
      </c>
      <c r="B41" s="207"/>
      <c r="C41" s="205">
        <f t="shared" si="1"/>
        <v>38</v>
      </c>
      <c r="D41" s="150"/>
      <c r="E41" s="150"/>
      <c r="F41" s="150"/>
      <c r="G41" s="150"/>
      <c r="H41" s="150"/>
      <c r="I41" s="150"/>
      <c r="J41" s="150"/>
      <c r="K41" s="150"/>
      <c r="Q41" s="401" t="s">
        <v>2853</v>
      </c>
    </row>
    <row r="42" spans="1:17" x14ac:dyDescent="0.35">
      <c r="A42" s="205">
        <f t="shared" si="0"/>
        <v>39</v>
      </c>
      <c r="B42" s="207" t="str">
        <f>IF(ISBLANK(VLOOKUP(A42,$C$4:$V$9680,1+$A$1)),D42,VLOOKUP(A42,$C$4:$V$9680,1+$A$1))</f>
        <v>weniger als 3 m</v>
      </c>
      <c r="C42" s="205">
        <f t="shared" si="1"/>
        <v>39</v>
      </c>
      <c r="D42" s="150" t="s">
        <v>2854</v>
      </c>
      <c r="E42" s="150" t="s">
        <v>4110</v>
      </c>
      <c r="F42" s="150" t="s">
        <v>4073</v>
      </c>
      <c r="G42" s="150" t="s">
        <v>4149</v>
      </c>
      <c r="H42" s="150" t="s">
        <v>4151</v>
      </c>
      <c r="I42" s="150" t="s">
        <v>3844</v>
      </c>
      <c r="J42" s="150" t="s">
        <v>2854</v>
      </c>
      <c r="K42" s="150" t="s">
        <v>2854</v>
      </c>
      <c r="Q42" s="401" t="s">
        <v>2853</v>
      </c>
    </row>
    <row r="43" spans="1:17" x14ac:dyDescent="0.35">
      <c r="A43" s="205">
        <f t="shared" si="0"/>
        <v>40</v>
      </c>
      <c r="B43" s="207" t="str">
        <f>IF(ISBLANK(VLOOKUP(A43,$C$4:$V$9680,1+$A$1)),D43,VLOOKUP(A43,$C$4:$V$9680,1+$A$1))</f>
        <v>3m - 3.3m</v>
      </c>
      <c r="C43" s="205">
        <f t="shared" si="1"/>
        <v>40</v>
      </c>
      <c r="D43" s="150" t="s">
        <v>226</v>
      </c>
      <c r="E43" s="150" t="s">
        <v>174</v>
      </c>
      <c r="F43" s="150" t="s">
        <v>4074</v>
      </c>
      <c r="G43" s="150" t="s">
        <v>174</v>
      </c>
      <c r="H43" s="150" t="s">
        <v>226</v>
      </c>
      <c r="I43" s="150" t="s">
        <v>226</v>
      </c>
      <c r="J43" s="150" t="s">
        <v>4547</v>
      </c>
      <c r="K43" s="150" t="s">
        <v>4980</v>
      </c>
      <c r="Q43" s="401" t="s">
        <v>2853</v>
      </c>
    </row>
    <row r="44" spans="1:17" x14ac:dyDescent="0.35">
      <c r="A44" s="205">
        <f t="shared" si="0"/>
        <v>41</v>
      </c>
      <c r="B44" s="207" t="str">
        <f>IF(ISBLANK(VLOOKUP(A44,$C$4:$V$9680,1+$A$1)),D44,VLOOKUP(A44,$C$4:$V$9680,1+$A$1))</f>
        <v>mehr als 3,3 m</v>
      </c>
      <c r="C44" s="205">
        <f t="shared" si="1"/>
        <v>41</v>
      </c>
      <c r="D44" s="150" t="s">
        <v>2855</v>
      </c>
      <c r="E44" s="150" t="s">
        <v>4111</v>
      </c>
      <c r="F44" s="150" t="s">
        <v>4075</v>
      </c>
      <c r="G44" s="150" t="s">
        <v>4150</v>
      </c>
      <c r="H44" s="150" t="s">
        <v>4152</v>
      </c>
      <c r="I44" s="150" t="s">
        <v>4153</v>
      </c>
      <c r="J44" s="150" t="s">
        <v>2855</v>
      </c>
      <c r="K44" s="150" t="s">
        <v>4981</v>
      </c>
      <c r="Q44" s="401" t="s">
        <v>2853</v>
      </c>
    </row>
    <row r="45" spans="1:17" x14ac:dyDescent="0.35">
      <c r="A45" s="205">
        <f t="shared" si="0"/>
        <v>42</v>
      </c>
      <c r="B45" s="207"/>
      <c r="C45" s="205">
        <f t="shared" si="1"/>
        <v>42</v>
      </c>
      <c r="D45" s="150"/>
      <c r="E45" s="150"/>
      <c r="F45" s="150"/>
      <c r="G45" s="150"/>
      <c r="H45" s="150"/>
      <c r="I45" s="150"/>
      <c r="J45" s="150"/>
      <c r="K45" s="150"/>
      <c r="Q45" s="401" t="s">
        <v>2853</v>
      </c>
    </row>
    <row r="46" spans="1:17" ht="39" x14ac:dyDescent="0.35">
      <c r="A46" s="205">
        <f t="shared" si="0"/>
        <v>43</v>
      </c>
      <c r="B46" s="207" t="str">
        <f>IF(ISBLANK(VLOOKUP(A46,$C$4:$V$9680,1+$A$1)),D46,VLOOKUP(A46,$C$4:$V$9680,1+$A$1))</f>
        <v>Stütze beeinträchtigt den Stellplatz nicht</v>
      </c>
      <c r="C46" s="205">
        <f t="shared" si="1"/>
        <v>43</v>
      </c>
      <c r="D46" s="150" t="s">
        <v>228</v>
      </c>
      <c r="E46" s="150" t="s">
        <v>2551</v>
      </c>
      <c r="F46" s="150" t="s">
        <v>1179</v>
      </c>
      <c r="G46" s="150" t="s">
        <v>1348</v>
      </c>
      <c r="H46" s="150" t="s">
        <v>2362</v>
      </c>
      <c r="I46" s="150" t="s">
        <v>3820</v>
      </c>
      <c r="J46" s="150" t="s">
        <v>4548</v>
      </c>
      <c r="K46" s="150" t="s">
        <v>4982</v>
      </c>
      <c r="Q46" s="401" t="s">
        <v>2853</v>
      </c>
    </row>
    <row r="47" spans="1:17" ht="26" x14ac:dyDescent="0.35">
      <c r="A47" s="205">
        <f t="shared" si="0"/>
        <v>44</v>
      </c>
      <c r="B47" s="207" t="str">
        <f>IF(ISBLANK(VLOOKUP(A47,$C$4:$V$9680,1+$A$1)),D47,VLOOKUP(A47,$C$4:$V$9680,1+$A$1))</f>
        <v>Stütze am Anfang des Stellplatzes</v>
      </c>
      <c r="C47" s="205">
        <f t="shared" si="1"/>
        <v>44</v>
      </c>
      <c r="D47" s="150" t="s">
        <v>229</v>
      </c>
      <c r="E47" s="150" t="s">
        <v>799</v>
      </c>
      <c r="F47" s="150" t="s">
        <v>1180</v>
      </c>
      <c r="G47" s="150" t="s">
        <v>5325</v>
      </c>
      <c r="H47" s="150" t="s">
        <v>2363</v>
      </c>
      <c r="I47" s="150" t="s">
        <v>3821</v>
      </c>
      <c r="J47" s="150" t="s">
        <v>4549</v>
      </c>
      <c r="K47" s="150" t="s">
        <v>4983</v>
      </c>
      <c r="Q47" s="401" t="s">
        <v>2853</v>
      </c>
    </row>
    <row r="48" spans="1:17" ht="26" x14ac:dyDescent="0.35">
      <c r="A48" s="205">
        <f t="shared" si="0"/>
        <v>45</v>
      </c>
      <c r="B48" s="207" t="str">
        <f>IF(ISBLANK(VLOOKUP(A48,$C$4:$V$9680,1+$A$1)),D48,VLOOKUP(A48,$C$4:$V$9680,1+$A$1))</f>
        <v>Stütze nahe der Fahrzeugtür</v>
      </c>
      <c r="C48" s="205">
        <f t="shared" si="1"/>
        <v>45</v>
      </c>
      <c r="D48" s="150" t="s">
        <v>230</v>
      </c>
      <c r="E48" s="150" t="s">
        <v>800</v>
      </c>
      <c r="F48" s="150" t="s">
        <v>1181</v>
      </c>
      <c r="G48" s="150" t="s">
        <v>1350</v>
      </c>
      <c r="H48" s="150" t="s">
        <v>2364</v>
      </c>
      <c r="I48" s="150" t="s">
        <v>3822</v>
      </c>
      <c r="J48" s="150" t="s">
        <v>4550</v>
      </c>
      <c r="K48" s="150" t="s">
        <v>4984</v>
      </c>
      <c r="Q48" s="401" t="s">
        <v>2853</v>
      </c>
    </row>
    <row r="49" spans="1:17" ht="52" x14ac:dyDescent="0.35">
      <c r="A49" s="205">
        <f t="shared" si="0"/>
        <v>46</v>
      </c>
      <c r="B49" s="207" t="str">
        <f>IF(ISBLANK(VLOOKUP(A49,$C$4:$V$9680,1+$A$1)),D49,VLOOKUP(A49,$C$4:$V$9680,1+$A$1))</f>
        <v>Stütze am Stellplatzende, aber beeinträchtigt den Stellplatz</v>
      </c>
      <c r="C49" s="205">
        <f t="shared" si="1"/>
        <v>46</v>
      </c>
      <c r="D49" s="150" t="s">
        <v>231</v>
      </c>
      <c r="E49" s="150" t="s">
        <v>2552</v>
      </c>
      <c r="F49" s="150" t="s">
        <v>3266</v>
      </c>
      <c r="G49" s="150" t="s">
        <v>5326</v>
      </c>
      <c r="H49" s="150" t="s">
        <v>2365</v>
      </c>
      <c r="I49" s="150" t="s">
        <v>3823</v>
      </c>
      <c r="J49" s="150" t="s">
        <v>4551</v>
      </c>
      <c r="K49" s="150" t="s">
        <v>4985</v>
      </c>
      <c r="Q49" s="401" t="s">
        <v>2853</v>
      </c>
    </row>
    <row r="50" spans="1:17" x14ac:dyDescent="0.35">
      <c r="A50" s="205">
        <f t="shared" si="0"/>
        <v>47</v>
      </c>
      <c r="B50" s="207"/>
      <c r="C50" s="205">
        <f t="shared" si="1"/>
        <v>47</v>
      </c>
      <c r="D50" s="150"/>
      <c r="E50" s="150"/>
      <c r="F50" s="150"/>
      <c r="G50" s="150"/>
      <c r="H50" s="150"/>
      <c r="I50" s="150"/>
      <c r="J50" s="150"/>
      <c r="K50" s="150"/>
      <c r="Q50" s="401" t="s">
        <v>2853</v>
      </c>
    </row>
    <row r="51" spans="1:17" x14ac:dyDescent="0.35">
      <c r="A51" s="205">
        <f t="shared" si="0"/>
        <v>48</v>
      </c>
      <c r="B51" s="207" t="str">
        <f>IF(ISBLANK(VLOOKUP(A51,$C$4:$V$9680,1+$A$1)),D51,VLOOKUP(A51,$C$4:$V$9680,1+$A$1))</f>
        <v>Gute Qualität</v>
      </c>
      <c r="C51" s="205">
        <f t="shared" si="1"/>
        <v>48</v>
      </c>
      <c r="D51" s="150" t="s">
        <v>2856</v>
      </c>
      <c r="E51" s="150" t="s">
        <v>3005</v>
      </c>
      <c r="F51" s="150" t="s">
        <v>3267</v>
      </c>
      <c r="G51" s="150" t="s">
        <v>5327</v>
      </c>
      <c r="H51" s="150" t="s">
        <v>2858</v>
      </c>
      <c r="I51" s="150" t="s">
        <v>3824</v>
      </c>
      <c r="J51" s="150" t="s">
        <v>4552</v>
      </c>
      <c r="K51" s="150" t="s">
        <v>4986</v>
      </c>
      <c r="Q51" s="401" t="s">
        <v>2853</v>
      </c>
    </row>
    <row r="52" spans="1:17" x14ac:dyDescent="0.35">
      <c r="A52" s="205">
        <f t="shared" si="0"/>
        <v>49</v>
      </c>
      <c r="B52" s="207" t="str">
        <f>IF(ISBLANK(VLOOKUP(A52,$C$4:$V$9680,1+$A$1)),D52,VLOOKUP(A52,$C$4:$V$9680,1+$A$1))</f>
        <v>Standardqualität</v>
      </c>
      <c r="C52" s="205">
        <f t="shared" si="1"/>
        <v>49</v>
      </c>
      <c r="D52" s="150" t="s">
        <v>2857</v>
      </c>
      <c r="E52" s="150" t="s">
        <v>3006</v>
      </c>
      <c r="F52" s="150" t="s">
        <v>3268</v>
      </c>
      <c r="G52" s="150" t="s">
        <v>5328</v>
      </c>
      <c r="H52" s="150" t="s">
        <v>2859</v>
      </c>
      <c r="I52" s="150" t="s">
        <v>3825</v>
      </c>
      <c r="J52" s="150" t="s">
        <v>4553</v>
      </c>
      <c r="K52" s="150" t="s">
        <v>4987</v>
      </c>
      <c r="Q52" s="401" t="s">
        <v>2853</v>
      </c>
    </row>
    <row r="53" spans="1:17" x14ac:dyDescent="0.35">
      <c r="A53" s="205">
        <f t="shared" si="0"/>
        <v>50</v>
      </c>
      <c r="B53" s="207" t="str">
        <f>IF(ISBLANK(VLOOKUP(A53,$C$4:$V$9680,1+$A$1)),D53,VLOOKUP(A53,$C$4:$V$9680,1+$A$1))</f>
        <v>Keine</v>
      </c>
      <c r="C53" s="205">
        <f t="shared" si="1"/>
        <v>50</v>
      </c>
      <c r="D53" s="150" t="s">
        <v>328</v>
      </c>
      <c r="E53" s="150" t="s">
        <v>829</v>
      </c>
      <c r="F53" s="150" t="s">
        <v>1199</v>
      </c>
      <c r="G53" s="150" t="s">
        <v>1402</v>
      </c>
      <c r="H53" s="150" t="s">
        <v>2394</v>
      </c>
      <c r="I53" s="150" t="s">
        <v>3826</v>
      </c>
      <c r="J53" s="150" t="s">
        <v>4554</v>
      </c>
      <c r="K53" s="150" t="s">
        <v>4988</v>
      </c>
      <c r="Q53" s="401" t="s">
        <v>2853</v>
      </c>
    </row>
    <row r="54" spans="1:17" ht="26" x14ac:dyDescent="0.35">
      <c r="A54" s="205">
        <f t="shared" si="0"/>
        <v>51</v>
      </c>
      <c r="B54" s="207" t="str">
        <f>IF(ISBLANK(VLOOKUP(A54,$C$4:$V$9680,1+$A$1)),D54,VLOOKUP(A54,$C$4:$V$9680,1+$A$1))</f>
        <v>Unzutreffend</v>
      </c>
      <c r="C54" s="205">
        <f t="shared" si="1"/>
        <v>51</v>
      </c>
      <c r="D54" s="150" t="s">
        <v>211</v>
      </c>
      <c r="E54" s="150" t="s">
        <v>3007</v>
      </c>
      <c r="F54" s="150" t="s">
        <v>1169</v>
      </c>
      <c r="G54" s="150" t="s">
        <v>5321</v>
      </c>
      <c r="H54" s="150" t="s">
        <v>211</v>
      </c>
      <c r="I54" s="150" t="s">
        <v>3809</v>
      </c>
      <c r="J54" s="150" t="s">
        <v>4555</v>
      </c>
      <c r="K54" s="150" t="s">
        <v>4971</v>
      </c>
    </row>
    <row r="55" spans="1:17" x14ac:dyDescent="0.35">
      <c r="A55" s="205">
        <f t="shared" si="0"/>
        <v>52</v>
      </c>
      <c r="B55" s="207"/>
      <c r="C55" s="205">
        <f t="shared" si="1"/>
        <v>52</v>
      </c>
      <c r="D55" s="150"/>
      <c r="E55" s="150"/>
      <c r="F55" s="150"/>
      <c r="G55" s="150"/>
      <c r="H55" s="150"/>
      <c r="I55" s="150"/>
      <c r="J55" s="150"/>
      <c r="K55" s="150"/>
      <c r="Q55" s="401" t="s">
        <v>2853</v>
      </c>
    </row>
    <row r="56" spans="1:17" x14ac:dyDescent="0.35">
      <c r="A56" s="205">
        <f t="shared" si="0"/>
        <v>53</v>
      </c>
      <c r="B56" s="207" t="str">
        <f>IF(ISBLANK(VLOOKUP(A56,$C$4:$V$9680,1+$A$1)),D56,VLOOKUP(A56,$C$4:$V$9680,1+$A$1))</f>
        <v>Gut</v>
      </c>
      <c r="C56" s="205">
        <f t="shared" si="1"/>
        <v>53</v>
      </c>
      <c r="D56" s="150" t="s">
        <v>149</v>
      </c>
      <c r="E56" s="150" t="s">
        <v>801</v>
      </c>
      <c r="F56" s="150" t="s">
        <v>1182</v>
      </c>
      <c r="G56" s="150" t="s">
        <v>1352</v>
      </c>
      <c r="H56" s="150" t="s">
        <v>2366</v>
      </c>
      <c r="I56" s="150" t="s">
        <v>3827</v>
      </c>
      <c r="J56" s="150" t="s">
        <v>4556</v>
      </c>
      <c r="K56" s="150" t="s">
        <v>4989</v>
      </c>
      <c r="Q56" s="401" t="s">
        <v>2853</v>
      </c>
    </row>
    <row r="57" spans="1:17" x14ac:dyDescent="0.35">
      <c r="A57" s="205">
        <f t="shared" si="0"/>
        <v>54</v>
      </c>
      <c r="B57" s="207" t="str">
        <f>IF(ISBLANK(VLOOKUP(A57,$C$4:$V$9680,1+$A$1)),D57,VLOOKUP(A57,$C$4:$V$9680,1+$A$1))</f>
        <v>Mittel</v>
      </c>
      <c r="C57" s="205">
        <f t="shared" si="1"/>
        <v>54</v>
      </c>
      <c r="D57" s="150" t="s">
        <v>150</v>
      </c>
      <c r="E57" s="150" t="s">
        <v>802</v>
      </c>
      <c r="F57" s="150" t="s">
        <v>1183</v>
      </c>
      <c r="G57" s="150" t="s">
        <v>1353</v>
      </c>
      <c r="H57" s="150" t="s">
        <v>2367</v>
      </c>
      <c r="I57" s="150" t="s">
        <v>3828</v>
      </c>
      <c r="J57" s="150" t="s">
        <v>4557</v>
      </c>
      <c r="K57" s="150" t="s">
        <v>4990</v>
      </c>
      <c r="Q57" s="401" t="s">
        <v>2853</v>
      </c>
    </row>
    <row r="58" spans="1:17" x14ac:dyDescent="0.35">
      <c r="A58" s="205">
        <f t="shared" si="0"/>
        <v>55</v>
      </c>
      <c r="B58" s="207" t="str">
        <f>IF(ISBLANK(VLOOKUP(A58,$C$4:$V$9680,1+$A$1)),D58,VLOOKUP(A58,$C$4:$V$9680,1+$A$1))</f>
        <v>Schlecht</v>
      </c>
      <c r="C58" s="205">
        <f t="shared" si="1"/>
        <v>55</v>
      </c>
      <c r="D58" s="150" t="s">
        <v>151</v>
      </c>
      <c r="E58" s="150" t="s">
        <v>803</v>
      </c>
      <c r="F58" s="150" t="s">
        <v>1184</v>
      </c>
      <c r="G58" s="150" t="s">
        <v>1354</v>
      </c>
      <c r="H58" s="150" t="s">
        <v>2368</v>
      </c>
      <c r="I58" s="150" t="s">
        <v>3829</v>
      </c>
      <c r="J58" s="150" t="s">
        <v>4558</v>
      </c>
      <c r="K58" s="150" t="s">
        <v>4991</v>
      </c>
      <c r="Q58" s="401" t="s">
        <v>2853</v>
      </c>
    </row>
    <row r="59" spans="1:17" x14ac:dyDescent="0.35">
      <c r="A59" s="205">
        <f t="shared" si="0"/>
        <v>56</v>
      </c>
      <c r="B59" s="207"/>
      <c r="C59" s="205">
        <f t="shared" si="1"/>
        <v>56</v>
      </c>
      <c r="D59" s="150"/>
      <c r="E59" s="150"/>
      <c r="F59" s="150"/>
      <c r="G59" s="150"/>
      <c r="H59" s="150"/>
      <c r="I59" s="150"/>
      <c r="J59" s="150"/>
      <c r="K59" s="150"/>
      <c r="Q59" s="401" t="s">
        <v>2853</v>
      </c>
    </row>
    <row r="60" spans="1:17" x14ac:dyDescent="0.35">
      <c r="A60" s="205">
        <f t="shared" si="0"/>
        <v>57</v>
      </c>
      <c r="B60" s="207" t="str">
        <f>IF(ISBLANK(VLOOKUP(A60,$C$4:$V$9680,1+$A$1)),D60,VLOOKUP(A60,$C$4:$V$9680,1+$A$1))</f>
        <v>Winkel 76°-90°</v>
      </c>
      <c r="C60" s="205">
        <f t="shared" si="1"/>
        <v>57</v>
      </c>
      <c r="D60" s="150" t="s">
        <v>234</v>
      </c>
      <c r="E60" s="150" t="s">
        <v>1714</v>
      </c>
      <c r="F60" s="150" t="s">
        <v>234</v>
      </c>
      <c r="G60" s="150" t="s">
        <v>1355</v>
      </c>
      <c r="H60" s="150" t="s">
        <v>2369</v>
      </c>
      <c r="I60" s="150" t="s">
        <v>3830</v>
      </c>
      <c r="J60" s="150" t="s">
        <v>4559</v>
      </c>
      <c r="K60" s="150" t="s">
        <v>4992</v>
      </c>
      <c r="Q60" s="401" t="s">
        <v>2853</v>
      </c>
    </row>
    <row r="61" spans="1:17" x14ac:dyDescent="0.35">
      <c r="A61" s="205">
        <f t="shared" si="0"/>
        <v>58</v>
      </c>
      <c r="B61" s="207" t="str">
        <f>IF(ISBLANK(VLOOKUP(A61,$C$4:$V$9680,1+$A$1)),D61,VLOOKUP(A61,$C$4:$V$9680,1+$A$1))</f>
        <v>Winkel 45°-75°</v>
      </c>
      <c r="C61" s="205">
        <f t="shared" si="1"/>
        <v>58</v>
      </c>
      <c r="D61" s="150" t="s">
        <v>233</v>
      </c>
      <c r="E61" s="150" t="s">
        <v>1715</v>
      </c>
      <c r="F61" s="150" t="s">
        <v>233</v>
      </c>
      <c r="G61" s="150" t="s">
        <v>1356</v>
      </c>
      <c r="H61" s="150" t="s">
        <v>2370</v>
      </c>
      <c r="I61" s="150" t="s">
        <v>3831</v>
      </c>
      <c r="J61" s="150" t="s">
        <v>4560</v>
      </c>
      <c r="K61" s="150" t="s">
        <v>4993</v>
      </c>
      <c r="Q61" s="401" t="s">
        <v>2853</v>
      </c>
    </row>
    <row r="62" spans="1:17" x14ac:dyDescent="0.35">
      <c r="A62" s="205">
        <f t="shared" si="0"/>
        <v>59</v>
      </c>
      <c r="B62" s="207"/>
      <c r="C62" s="205">
        <f t="shared" si="1"/>
        <v>59</v>
      </c>
      <c r="D62" s="150"/>
      <c r="E62" s="150"/>
      <c r="F62" s="150"/>
      <c r="G62" s="150"/>
      <c r="H62" s="150"/>
      <c r="I62" s="150"/>
      <c r="J62" s="150"/>
      <c r="K62" s="150"/>
      <c r="Q62" s="401" t="s">
        <v>2853</v>
      </c>
    </row>
    <row r="63" spans="1:17" x14ac:dyDescent="0.35">
      <c r="A63" s="205">
        <f t="shared" si="0"/>
        <v>60</v>
      </c>
      <c r="B63" s="207" t="str">
        <f t="shared" ref="B63:B68" si="2">IF(ISBLANK(VLOOKUP(A63,$C$4:$V$9680,1+$A$1)),D63,VLOOKUP(A63,$C$4:$V$9680,1+$A$1))</f>
        <v xml:space="preserve"> 2.25 m - 2.30 m</v>
      </c>
      <c r="C63" s="205">
        <f t="shared" si="1"/>
        <v>60</v>
      </c>
      <c r="D63" s="150" t="s">
        <v>238</v>
      </c>
      <c r="E63" s="150" t="s">
        <v>238</v>
      </c>
      <c r="F63" s="150" t="s">
        <v>1185</v>
      </c>
      <c r="G63" s="150" t="s">
        <v>238</v>
      </c>
      <c r="H63" s="150" t="s">
        <v>238</v>
      </c>
      <c r="I63" s="150" t="s">
        <v>238</v>
      </c>
      <c r="J63" s="150" t="s">
        <v>238</v>
      </c>
      <c r="K63" s="150" t="s">
        <v>4994</v>
      </c>
      <c r="Q63" s="401" t="s">
        <v>2853</v>
      </c>
    </row>
    <row r="64" spans="1:17" x14ac:dyDescent="0.35">
      <c r="A64" s="205">
        <f t="shared" si="0"/>
        <v>61</v>
      </c>
      <c r="B64" s="207" t="str">
        <f t="shared" si="2"/>
        <v xml:space="preserve"> 2.30 m - 2.35 m</v>
      </c>
      <c r="C64" s="205">
        <f t="shared" si="1"/>
        <v>61</v>
      </c>
      <c r="D64" s="150" t="s">
        <v>239</v>
      </c>
      <c r="E64" s="150" t="s">
        <v>239</v>
      </c>
      <c r="F64" s="150" t="s">
        <v>1186</v>
      </c>
      <c r="G64" s="150" t="s">
        <v>239</v>
      </c>
      <c r="H64" s="150" t="s">
        <v>239</v>
      </c>
      <c r="I64" s="150" t="s">
        <v>239</v>
      </c>
      <c r="J64" s="150" t="s">
        <v>239</v>
      </c>
      <c r="K64" s="150" t="s">
        <v>4995</v>
      </c>
      <c r="Q64" s="401" t="s">
        <v>2853</v>
      </c>
    </row>
    <row r="65" spans="1:17" x14ac:dyDescent="0.35">
      <c r="A65" s="205">
        <f t="shared" si="0"/>
        <v>62</v>
      </c>
      <c r="B65" s="207" t="str">
        <f t="shared" si="2"/>
        <v xml:space="preserve"> 2.35 m - 2.40 m</v>
      </c>
      <c r="C65" s="205">
        <f t="shared" si="1"/>
        <v>62</v>
      </c>
      <c r="D65" s="150" t="s">
        <v>240</v>
      </c>
      <c r="E65" s="150" t="s">
        <v>240</v>
      </c>
      <c r="F65" s="150" t="s">
        <v>1187</v>
      </c>
      <c r="G65" s="150" t="s">
        <v>240</v>
      </c>
      <c r="H65" s="150" t="s">
        <v>240</v>
      </c>
      <c r="I65" s="150" t="s">
        <v>240</v>
      </c>
      <c r="J65" s="150" t="s">
        <v>240</v>
      </c>
      <c r="K65" s="150" t="s">
        <v>4996</v>
      </c>
      <c r="Q65" s="401" t="s">
        <v>2853</v>
      </c>
    </row>
    <row r="66" spans="1:17" x14ac:dyDescent="0.35">
      <c r="A66" s="205">
        <f t="shared" si="0"/>
        <v>63</v>
      </c>
      <c r="B66" s="207" t="str">
        <f t="shared" si="2"/>
        <v xml:space="preserve"> 2.40 m - 2.45 m</v>
      </c>
      <c r="C66" s="205">
        <f t="shared" si="1"/>
        <v>63</v>
      </c>
      <c r="D66" s="150" t="s">
        <v>241</v>
      </c>
      <c r="E66" s="150" t="s">
        <v>241</v>
      </c>
      <c r="F66" s="150" t="s">
        <v>1188</v>
      </c>
      <c r="G66" s="150" t="s">
        <v>241</v>
      </c>
      <c r="H66" s="150" t="s">
        <v>241</v>
      </c>
      <c r="I66" s="150" t="s">
        <v>241</v>
      </c>
      <c r="J66" s="150" t="s">
        <v>241</v>
      </c>
      <c r="K66" s="150" t="s">
        <v>4997</v>
      </c>
      <c r="Q66" s="401" t="s">
        <v>2853</v>
      </c>
    </row>
    <row r="67" spans="1:17" x14ac:dyDescent="0.35">
      <c r="A67" s="205">
        <f t="shared" si="0"/>
        <v>64</v>
      </c>
      <c r="B67" s="207" t="str">
        <f t="shared" si="2"/>
        <v xml:space="preserve"> 2.45 m - 2.50 m</v>
      </c>
      <c r="C67" s="205">
        <f t="shared" si="1"/>
        <v>64</v>
      </c>
      <c r="D67" s="150" t="s">
        <v>242</v>
      </c>
      <c r="E67" s="150" t="s">
        <v>242</v>
      </c>
      <c r="F67" s="150" t="s">
        <v>1189</v>
      </c>
      <c r="G67" s="150" t="s">
        <v>242</v>
      </c>
      <c r="H67" s="150" t="s">
        <v>242</v>
      </c>
      <c r="I67" s="150" t="s">
        <v>242</v>
      </c>
      <c r="J67" s="150" t="s">
        <v>242</v>
      </c>
      <c r="K67" s="150" t="s">
        <v>4998</v>
      </c>
      <c r="Q67" s="401" t="s">
        <v>2853</v>
      </c>
    </row>
    <row r="68" spans="1:17" x14ac:dyDescent="0.35">
      <c r="A68" s="205">
        <f t="shared" si="0"/>
        <v>65</v>
      </c>
      <c r="B68" s="207" t="str">
        <f t="shared" si="2"/>
        <v xml:space="preserve"> über 2.50 m</v>
      </c>
      <c r="C68" s="205">
        <f t="shared" si="1"/>
        <v>65</v>
      </c>
      <c r="D68" s="150" t="s">
        <v>243</v>
      </c>
      <c r="E68" s="150" t="s">
        <v>804</v>
      </c>
      <c r="F68" s="150" t="s">
        <v>1190</v>
      </c>
      <c r="G68" s="150" t="s">
        <v>1357</v>
      </c>
      <c r="H68" s="150" t="s">
        <v>2371</v>
      </c>
      <c r="I68" s="150" t="s">
        <v>3832</v>
      </c>
      <c r="J68" s="150" t="s">
        <v>4561</v>
      </c>
      <c r="K68" s="150" t="s">
        <v>4999</v>
      </c>
      <c r="Q68" s="401" t="s">
        <v>2853</v>
      </c>
    </row>
    <row r="69" spans="1:17" x14ac:dyDescent="0.35">
      <c r="A69" s="205">
        <f t="shared" si="0"/>
        <v>66</v>
      </c>
      <c r="B69" s="207"/>
      <c r="C69" s="205">
        <f t="shared" si="1"/>
        <v>66</v>
      </c>
      <c r="D69" s="150"/>
      <c r="E69" s="150"/>
      <c r="F69" s="150"/>
      <c r="G69" s="150"/>
      <c r="H69" s="150"/>
      <c r="I69" s="150"/>
      <c r="J69" s="150"/>
      <c r="K69" s="150"/>
      <c r="Q69" s="401" t="s">
        <v>2853</v>
      </c>
    </row>
    <row r="70" spans="1:17" ht="26" x14ac:dyDescent="0.35">
      <c r="A70" s="205">
        <f t="shared" si="0"/>
        <v>67</v>
      </c>
      <c r="B70" s="207" t="str">
        <f>IF(ISBLANK(VLOOKUP(A70,$C$4:$V$9680,1+$A$1)),D70,VLOOKUP(A70,$C$4:$V$9680,1+$A$1))</f>
        <v>Entspricht der Tabelle.</v>
      </c>
      <c r="C70" s="205">
        <f t="shared" si="1"/>
        <v>67</v>
      </c>
      <c r="D70" s="150" t="s">
        <v>244</v>
      </c>
      <c r="E70" s="150" t="s">
        <v>805</v>
      </c>
      <c r="F70" s="150" t="s">
        <v>1191</v>
      </c>
      <c r="G70" s="150" t="s">
        <v>5329</v>
      </c>
      <c r="H70" s="150" t="s">
        <v>2372</v>
      </c>
      <c r="I70" s="150" t="s">
        <v>3833</v>
      </c>
      <c r="J70" s="150" t="s">
        <v>4562</v>
      </c>
      <c r="K70" s="150" t="s">
        <v>5000</v>
      </c>
      <c r="Q70" s="401" t="s">
        <v>2853</v>
      </c>
    </row>
    <row r="71" spans="1:17" ht="26" x14ac:dyDescent="0.35">
      <c r="A71" s="205">
        <f t="shared" si="0"/>
        <v>68</v>
      </c>
      <c r="B71" s="207" t="str">
        <f>IF(ISBLANK(VLOOKUP(A71,$C$4:$V$9680,1+$A$1)),D71,VLOOKUP(A71,$C$4:$V$9680,1+$A$1))</f>
        <v>bis zu 30 cm weniger</v>
      </c>
      <c r="C71" s="205">
        <f t="shared" si="1"/>
        <v>68</v>
      </c>
      <c r="D71" s="150" t="s">
        <v>245</v>
      </c>
      <c r="E71" s="150" t="s">
        <v>806</v>
      </c>
      <c r="F71" s="150" t="s">
        <v>1192</v>
      </c>
      <c r="G71" s="150" t="s">
        <v>1358</v>
      </c>
      <c r="H71" s="150" t="s">
        <v>2373</v>
      </c>
      <c r="I71" s="150" t="s">
        <v>3834</v>
      </c>
      <c r="J71" s="150" t="s">
        <v>4563</v>
      </c>
      <c r="K71" s="150" t="s">
        <v>5001</v>
      </c>
      <c r="Q71" s="401" t="s">
        <v>2853</v>
      </c>
    </row>
    <row r="72" spans="1:17" ht="26" x14ac:dyDescent="0.35">
      <c r="A72" s="205">
        <f t="shared" si="0"/>
        <v>69</v>
      </c>
      <c r="B72" s="207" t="str">
        <f>IF(ISBLANK(VLOOKUP(A72,$C$4:$V$9680,1+$A$1)),D72,VLOOKUP(A72,$C$4:$V$9680,1+$A$1))</f>
        <v>bis zu 60 cm weniger</v>
      </c>
      <c r="C72" s="205">
        <f t="shared" si="1"/>
        <v>69</v>
      </c>
      <c r="D72" s="150" t="s">
        <v>246</v>
      </c>
      <c r="E72" s="150" t="s">
        <v>807</v>
      </c>
      <c r="F72" s="150" t="s">
        <v>1193</v>
      </c>
      <c r="G72" s="150" t="s">
        <v>1359</v>
      </c>
      <c r="H72" s="150" t="s">
        <v>2374</v>
      </c>
      <c r="I72" s="150" t="s">
        <v>3835</v>
      </c>
      <c r="J72" s="150" t="s">
        <v>4564</v>
      </c>
      <c r="K72" s="150" t="s">
        <v>5002</v>
      </c>
      <c r="Q72" s="401" t="s">
        <v>2853</v>
      </c>
    </row>
    <row r="73" spans="1:17" ht="26" x14ac:dyDescent="0.35">
      <c r="A73" s="205">
        <f t="shared" si="0"/>
        <v>70</v>
      </c>
      <c r="B73" s="207" t="str">
        <f>IF(ISBLANK(VLOOKUP(A73,$C$4:$V$9680,1+$A$1)),D73,VLOOKUP(A73,$C$4:$V$9680,1+$A$1))</f>
        <v>über 60 cm weniger</v>
      </c>
      <c r="C73" s="205">
        <f t="shared" si="1"/>
        <v>70</v>
      </c>
      <c r="D73" s="150" t="s">
        <v>247</v>
      </c>
      <c r="E73" s="150" t="s">
        <v>4112</v>
      </c>
      <c r="F73" s="150" t="s">
        <v>1194</v>
      </c>
      <c r="G73" s="150" t="s">
        <v>1360</v>
      </c>
      <c r="H73" s="150" t="s">
        <v>2375</v>
      </c>
      <c r="I73" s="150" t="s">
        <v>3836</v>
      </c>
      <c r="J73" s="150" t="s">
        <v>4565</v>
      </c>
      <c r="K73" s="150" t="s">
        <v>5003</v>
      </c>
      <c r="Q73" s="401" t="s">
        <v>2853</v>
      </c>
    </row>
    <row r="74" spans="1:17" x14ac:dyDescent="0.35">
      <c r="A74" s="205">
        <f t="shared" si="0"/>
        <v>71</v>
      </c>
      <c r="B74" s="207"/>
      <c r="C74" s="205">
        <f t="shared" si="1"/>
        <v>71</v>
      </c>
      <c r="D74" s="150"/>
      <c r="E74" s="150"/>
      <c r="F74" s="150"/>
      <c r="G74" s="150"/>
      <c r="H74" s="150"/>
      <c r="I74" s="150"/>
      <c r="J74" s="150"/>
      <c r="K74" s="150"/>
      <c r="Q74" s="401" t="s">
        <v>2853</v>
      </c>
    </row>
    <row r="75" spans="1:17" x14ac:dyDescent="0.35">
      <c r="A75" s="205">
        <f t="shared" si="0"/>
        <v>72</v>
      </c>
      <c r="B75" s="207" t="str">
        <f>IF(ISBLANK(VLOOKUP(A75,$C$4:$V$9680,1+$A$1)),D75,VLOOKUP(A75,$C$4:$V$9680,1+$A$1))</f>
        <v>Ja</v>
      </c>
      <c r="C75" s="205">
        <f t="shared" ref="C75:C115" si="3">+C74+1</f>
        <v>72</v>
      </c>
      <c r="D75" s="150" t="s">
        <v>130</v>
      </c>
      <c r="E75" s="150" t="s">
        <v>3008</v>
      </c>
      <c r="F75" s="150" t="s">
        <v>1168</v>
      </c>
      <c r="G75" s="150" t="s">
        <v>791</v>
      </c>
      <c r="H75" s="150" t="s">
        <v>2353</v>
      </c>
      <c r="I75" s="150" t="s">
        <v>3807</v>
      </c>
      <c r="J75" s="150" t="s">
        <v>4536</v>
      </c>
      <c r="K75" s="150" t="s">
        <v>4970</v>
      </c>
      <c r="Q75" s="401" t="s">
        <v>2853</v>
      </c>
    </row>
    <row r="76" spans="1:17" x14ac:dyDescent="0.35">
      <c r="A76" s="205">
        <f t="shared" ref="A76:A79" si="4">C76</f>
        <v>73</v>
      </c>
      <c r="B76" s="207" t="str">
        <f>IF(ISBLANK(VLOOKUP(A76,$C$4:$V$9680,1+$A$1)),D76,VLOOKUP(A76,$C$4:$V$9680,1+$A$1))</f>
        <v>kein Schutz</v>
      </c>
      <c r="C76" s="205">
        <f t="shared" si="3"/>
        <v>73</v>
      </c>
      <c r="D76" s="150" t="s">
        <v>2860</v>
      </c>
      <c r="E76" s="150" t="s">
        <v>3009</v>
      </c>
      <c r="F76" s="150" t="s">
        <v>1176</v>
      </c>
      <c r="G76" s="150" t="s">
        <v>1344</v>
      </c>
      <c r="H76" s="150" t="s">
        <v>2862</v>
      </c>
      <c r="I76" s="150" t="s">
        <v>3816</v>
      </c>
      <c r="J76" s="150" t="s">
        <v>4543</v>
      </c>
      <c r="K76" s="150" t="s">
        <v>4976</v>
      </c>
      <c r="Q76" s="401" t="s">
        <v>2853</v>
      </c>
    </row>
    <row r="77" spans="1:17" x14ac:dyDescent="0.35">
      <c r="A77" s="205">
        <f t="shared" si="4"/>
        <v>74</v>
      </c>
      <c r="B77" s="207" t="str">
        <f>IF(ISBLANK(VLOOKUP(A77,$C$4:$V$9680,1+$A$1)),D77,VLOOKUP(A77,$C$4:$V$9680,1+$A$1))</f>
        <v>keine Schrammborde</v>
      </c>
      <c r="C77" s="205">
        <f t="shared" si="3"/>
        <v>74</v>
      </c>
      <c r="D77" s="150" t="s">
        <v>2861</v>
      </c>
      <c r="E77" s="150" t="s">
        <v>3010</v>
      </c>
      <c r="F77" s="150" t="s">
        <v>4076</v>
      </c>
      <c r="G77" s="150" t="s">
        <v>5330</v>
      </c>
      <c r="H77" s="150" t="s">
        <v>2863</v>
      </c>
      <c r="I77" s="150" t="s">
        <v>3837</v>
      </c>
      <c r="J77" s="150" t="s">
        <v>4566</v>
      </c>
      <c r="K77" s="150" t="s">
        <v>5004</v>
      </c>
      <c r="Q77" s="401" t="s">
        <v>2853</v>
      </c>
    </row>
    <row r="78" spans="1:17" x14ac:dyDescent="0.35">
      <c r="A78" s="205">
        <f t="shared" si="4"/>
        <v>75</v>
      </c>
      <c r="B78" s="207"/>
      <c r="C78" s="205">
        <f t="shared" si="3"/>
        <v>75</v>
      </c>
      <c r="D78" s="150"/>
      <c r="E78" s="150"/>
      <c r="F78" s="150"/>
      <c r="G78" s="150"/>
      <c r="H78" s="150"/>
      <c r="I78" s="150"/>
      <c r="J78" s="150"/>
      <c r="K78" s="150"/>
      <c r="Q78" s="401" t="s">
        <v>2853</v>
      </c>
    </row>
    <row r="79" spans="1:17" x14ac:dyDescent="0.35">
      <c r="A79" s="205">
        <f t="shared" si="4"/>
        <v>76</v>
      </c>
      <c r="B79" s="207" t="str">
        <f>IF(ISBLANK(VLOOKUP(A79,$C$4:$V$9680,1+$A$1)),D79,VLOOKUP(A79,$C$4:$V$9680,1+$A$1))</f>
        <v>rutschhemmend</v>
      </c>
      <c r="C79" s="205">
        <f t="shared" si="3"/>
        <v>76</v>
      </c>
      <c r="D79" s="150" t="s">
        <v>163</v>
      </c>
      <c r="E79" s="150" t="s">
        <v>223</v>
      </c>
      <c r="F79" s="150" t="s">
        <v>1177</v>
      </c>
      <c r="G79" s="150" t="s">
        <v>1346</v>
      </c>
      <c r="H79" s="150" t="s">
        <v>2376</v>
      </c>
      <c r="I79" s="150" t="s">
        <v>3818</v>
      </c>
      <c r="J79" s="150" t="s">
        <v>4567</v>
      </c>
      <c r="K79" s="150" t="s">
        <v>4978</v>
      </c>
      <c r="Q79" s="401" t="s">
        <v>2853</v>
      </c>
    </row>
    <row r="80" spans="1:17" x14ac:dyDescent="0.35">
      <c r="A80" s="205">
        <f t="shared" ref="A80:A168" si="5">C80</f>
        <v>77</v>
      </c>
      <c r="B80" s="207" t="str">
        <f>IF(ISBLANK(VLOOKUP(A80,$C$4:$V$9680,1+$A$1)),D80,VLOOKUP(A80,$C$4:$V$9680,1+$A$1))</f>
        <v>weich</v>
      </c>
      <c r="C80" s="205">
        <f t="shared" si="3"/>
        <v>77</v>
      </c>
      <c r="D80" s="150" t="s">
        <v>164</v>
      </c>
      <c r="E80" s="150" t="s">
        <v>808</v>
      </c>
      <c r="F80" s="150" t="s">
        <v>1195</v>
      </c>
      <c r="G80" s="150" t="s">
        <v>1361</v>
      </c>
      <c r="H80" s="150" t="s">
        <v>2377</v>
      </c>
      <c r="I80" s="150" t="s">
        <v>3838</v>
      </c>
      <c r="J80" s="150" t="s">
        <v>4568</v>
      </c>
      <c r="K80" s="150" t="s">
        <v>5005</v>
      </c>
      <c r="Q80" s="401" t="s">
        <v>2853</v>
      </c>
    </row>
    <row r="81" spans="1:17" x14ac:dyDescent="0.35">
      <c r="A81" s="205">
        <f t="shared" si="5"/>
        <v>78</v>
      </c>
      <c r="B81" s="207" t="str">
        <f>IF(ISBLANK(VLOOKUP(A81,$C$4:$V$9680,1+$A$1)),D81,VLOOKUP(A81,$C$4:$V$9680,1+$A$1))</f>
        <v>Keine Rampen</v>
      </c>
      <c r="C81" s="205">
        <f t="shared" si="3"/>
        <v>78</v>
      </c>
      <c r="D81" s="150" t="s">
        <v>165</v>
      </c>
      <c r="E81" s="150" t="s">
        <v>809</v>
      </c>
      <c r="F81" s="150" t="s">
        <v>1196</v>
      </c>
      <c r="G81" s="150" t="s">
        <v>1362</v>
      </c>
      <c r="H81" s="150" t="s">
        <v>2378</v>
      </c>
      <c r="I81" s="150" t="s">
        <v>3839</v>
      </c>
      <c r="J81" s="150" t="s">
        <v>4569</v>
      </c>
      <c r="K81" s="150" t="s">
        <v>5006</v>
      </c>
      <c r="Q81" s="401" t="s">
        <v>2853</v>
      </c>
    </row>
    <row r="82" spans="1:17" x14ac:dyDescent="0.35">
      <c r="A82" s="205">
        <f t="shared" si="5"/>
        <v>79</v>
      </c>
      <c r="B82" s="207"/>
      <c r="C82" s="205">
        <f t="shared" si="3"/>
        <v>79</v>
      </c>
      <c r="D82" s="150"/>
      <c r="E82" s="150"/>
      <c r="F82" s="150"/>
      <c r="G82" s="150"/>
      <c r="H82" s="150"/>
      <c r="I82" s="150"/>
      <c r="J82" s="150"/>
      <c r="K82" s="150"/>
      <c r="Q82" s="401" t="s">
        <v>2853</v>
      </c>
    </row>
    <row r="83" spans="1:17" x14ac:dyDescent="0.35">
      <c r="A83" s="205">
        <f t="shared" si="5"/>
        <v>80</v>
      </c>
      <c r="B83" s="207" t="str">
        <f>IF(ISBLANK(VLOOKUP(A83,$C$4:$V$9680,1+$A$1)),D83,VLOOKUP(A83,$C$4:$V$9680,1+$A$1))</f>
        <v>kleiner als 10%</v>
      </c>
      <c r="C83" s="205">
        <f t="shared" si="3"/>
        <v>80</v>
      </c>
      <c r="D83" s="150" t="s">
        <v>2864</v>
      </c>
      <c r="E83" s="150" t="s">
        <v>4113</v>
      </c>
      <c r="F83" s="150" t="s">
        <v>4077</v>
      </c>
      <c r="G83" s="150" t="s">
        <v>5331</v>
      </c>
      <c r="H83" s="150" t="s">
        <v>3396</v>
      </c>
      <c r="I83" s="150" t="s">
        <v>3840</v>
      </c>
      <c r="J83" s="150" t="s">
        <v>4570</v>
      </c>
      <c r="K83" s="150" t="s">
        <v>5007</v>
      </c>
      <c r="Q83" s="401" t="s">
        <v>2853</v>
      </c>
    </row>
    <row r="84" spans="1:17" x14ac:dyDescent="0.35">
      <c r="A84" s="205">
        <f t="shared" si="5"/>
        <v>81</v>
      </c>
      <c r="B84" s="207" t="str">
        <f>IF(ISBLANK(VLOOKUP(A84,$C$4:$V$9680,1+$A$1)),D84,VLOOKUP(A84,$C$4:$V$9680,1+$A$1))</f>
        <v>10% - 15%</v>
      </c>
      <c r="C84" s="205">
        <f t="shared" si="3"/>
        <v>81</v>
      </c>
      <c r="D84" s="150" t="s">
        <v>1251</v>
      </c>
      <c r="E84" s="150" t="s">
        <v>1251</v>
      </c>
      <c r="F84" s="150" t="s">
        <v>4078</v>
      </c>
      <c r="G84" s="150" t="s">
        <v>5332</v>
      </c>
      <c r="H84" s="150" t="s">
        <v>1251</v>
      </c>
      <c r="I84" s="150" t="s">
        <v>3841</v>
      </c>
      <c r="J84" s="150" t="s">
        <v>1251</v>
      </c>
      <c r="K84" s="150" t="s">
        <v>1251</v>
      </c>
      <c r="Q84" s="401" t="s">
        <v>2853</v>
      </c>
    </row>
    <row r="85" spans="1:17" x14ac:dyDescent="0.35">
      <c r="A85" s="205">
        <f t="shared" si="5"/>
        <v>82</v>
      </c>
      <c r="B85" s="207" t="str">
        <f>IF(ISBLANK(VLOOKUP(A85,$C$4:$V$9680,1+$A$1)),D85,VLOOKUP(A85,$C$4:$V$9680,1+$A$1))</f>
        <v>größer als 15%</v>
      </c>
      <c r="C85" s="205">
        <f t="shared" si="3"/>
        <v>82</v>
      </c>
      <c r="D85" s="150" t="s">
        <v>2865</v>
      </c>
      <c r="E85" s="150" t="s">
        <v>4114</v>
      </c>
      <c r="F85" s="150" t="s">
        <v>4079</v>
      </c>
      <c r="G85" s="150" t="s">
        <v>5333</v>
      </c>
      <c r="H85" s="150" t="s">
        <v>3397</v>
      </c>
      <c r="I85" s="150" t="s">
        <v>3842</v>
      </c>
      <c r="J85" s="150" t="s">
        <v>4571</v>
      </c>
      <c r="K85" s="150" t="s">
        <v>5008</v>
      </c>
      <c r="Q85" s="401" t="s">
        <v>2853</v>
      </c>
    </row>
    <row r="86" spans="1:17" x14ac:dyDescent="0.35">
      <c r="A86" s="205">
        <f t="shared" si="5"/>
        <v>83</v>
      </c>
      <c r="B86" s="207" t="str">
        <f>IF(ISBLANK(VLOOKUP(A86,$C$4:$V$9680,1+$A$1)),D86,VLOOKUP(A86,$C$4:$V$9680,1+$A$1))</f>
        <v>Keine Rampen</v>
      </c>
      <c r="C86" s="205">
        <f t="shared" si="3"/>
        <v>83</v>
      </c>
      <c r="D86" s="150" t="s">
        <v>165</v>
      </c>
      <c r="E86" s="150" t="s">
        <v>3011</v>
      </c>
      <c r="F86" s="150" t="s">
        <v>1252</v>
      </c>
      <c r="G86" s="150" t="s">
        <v>1362</v>
      </c>
      <c r="H86" s="150" t="s">
        <v>2378</v>
      </c>
      <c r="I86" s="150" t="s">
        <v>3843</v>
      </c>
      <c r="J86" s="150" t="s">
        <v>4569</v>
      </c>
      <c r="K86" s="150" t="s">
        <v>5006</v>
      </c>
      <c r="Q86" s="401" t="s">
        <v>2853</v>
      </c>
    </row>
    <row r="87" spans="1:17" x14ac:dyDescent="0.35">
      <c r="A87" s="205">
        <f t="shared" si="5"/>
        <v>84</v>
      </c>
      <c r="B87" s="207"/>
      <c r="C87" s="205">
        <f t="shared" si="3"/>
        <v>84</v>
      </c>
      <c r="D87" s="150"/>
      <c r="E87" s="150"/>
      <c r="F87" s="150"/>
      <c r="G87" s="150"/>
      <c r="H87" s="150"/>
      <c r="I87" s="150"/>
      <c r="J87" s="150"/>
      <c r="K87" s="150"/>
      <c r="Q87" s="401" t="s">
        <v>2853</v>
      </c>
    </row>
    <row r="88" spans="1:17" x14ac:dyDescent="0.35">
      <c r="A88" s="205">
        <f>C88</f>
        <v>85</v>
      </c>
      <c r="B88" s="207" t="str">
        <f>IF(ISBLANK(VLOOKUP(A88,$C$4:$V$9680,1+$A$1)),D88,VLOOKUP(A88,$C$4:$V$9680,1+$A$1))</f>
        <v>weniger als 3 m</v>
      </c>
      <c r="C88" s="205">
        <f t="shared" si="3"/>
        <v>85</v>
      </c>
      <c r="D88" s="150" t="s">
        <v>2866</v>
      </c>
      <c r="E88" s="150" t="s">
        <v>4115</v>
      </c>
      <c r="F88" s="150" t="s">
        <v>4080</v>
      </c>
      <c r="G88" s="150" t="s">
        <v>4149</v>
      </c>
      <c r="H88" s="150" t="s">
        <v>4165</v>
      </c>
      <c r="I88" s="150" t="s">
        <v>3844</v>
      </c>
      <c r="J88" s="150" t="s">
        <v>4572</v>
      </c>
      <c r="K88" s="150" t="s">
        <v>5009</v>
      </c>
      <c r="Q88" s="401" t="s">
        <v>2853</v>
      </c>
    </row>
    <row r="89" spans="1:17" x14ac:dyDescent="0.35">
      <c r="A89" s="205">
        <f>C89</f>
        <v>86</v>
      </c>
      <c r="B89" s="207" t="str">
        <f>IF(ISBLANK(VLOOKUP(A89,$C$4:$V$9680,1+$A$1)),D89,VLOOKUP(A89,$C$4:$V$9680,1+$A$1))</f>
        <v>3m - 3.3m</v>
      </c>
      <c r="C89" s="205">
        <f t="shared" si="3"/>
        <v>86</v>
      </c>
      <c r="D89" s="150" t="s">
        <v>174</v>
      </c>
      <c r="E89" s="150" t="s">
        <v>174</v>
      </c>
      <c r="F89" s="150" t="s">
        <v>4074</v>
      </c>
      <c r="G89" s="150" t="s">
        <v>174</v>
      </c>
      <c r="H89" s="150" t="s">
        <v>174</v>
      </c>
      <c r="I89" s="150" t="s">
        <v>174</v>
      </c>
      <c r="J89" s="150" t="s">
        <v>4547</v>
      </c>
      <c r="K89" s="150" t="s">
        <v>4547</v>
      </c>
      <c r="Q89" s="401" t="s">
        <v>2853</v>
      </c>
    </row>
    <row r="90" spans="1:17" x14ac:dyDescent="0.35">
      <c r="A90" s="205">
        <f t="shared" ref="A90:A114" si="6">C90</f>
        <v>87</v>
      </c>
      <c r="B90" s="207" t="str">
        <f>IF(ISBLANK(VLOOKUP(A90,$C$4:$V$9680,1+$A$1)),D90,VLOOKUP(A90,$C$4:$V$9680,1+$A$1))</f>
        <v>mehr als 3.3 m</v>
      </c>
      <c r="C90" s="205">
        <f t="shared" si="3"/>
        <v>87</v>
      </c>
      <c r="D90" s="150" t="s">
        <v>2922</v>
      </c>
      <c r="E90" s="150" t="s">
        <v>4116</v>
      </c>
      <c r="F90" s="150" t="s">
        <v>4075</v>
      </c>
      <c r="G90" s="150" t="s">
        <v>4155</v>
      </c>
      <c r="H90" s="150" t="s">
        <v>4166</v>
      </c>
      <c r="I90" s="150" t="s">
        <v>3845</v>
      </c>
      <c r="J90" s="150" t="s">
        <v>4573</v>
      </c>
      <c r="K90" s="150" t="s">
        <v>5010</v>
      </c>
      <c r="Q90" s="401" t="s">
        <v>2853</v>
      </c>
    </row>
    <row r="91" spans="1:17" x14ac:dyDescent="0.35">
      <c r="A91" s="205">
        <f t="shared" si="6"/>
        <v>88</v>
      </c>
      <c r="B91" s="207" t="str">
        <f>IF(ISBLANK(VLOOKUP(A91,$C$4:$V$9680,1+$A$1)),D91,VLOOKUP(A91,$C$4:$V$9680,1+$A$1))</f>
        <v>Keine Rampen</v>
      </c>
      <c r="C91" s="205">
        <f t="shared" si="3"/>
        <v>88</v>
      </c>
      <c r="D91" s="150" t="s">
        <v>170</v>
      </c>
      <c r="E91" s="150" t="s">
        <v>857</v>
      </c>
      <c r="F91" s="150" t="s">
        <v>1252</v>
      </c>
      <c r="G91" s="150" t="s">
        <v>1362</v>
      </c>
      <c r="H91" s="150" t="s">
        <v>2378</v>
      </c>
      <c r="I91" s="150" t="s">
        <v>3846</v>
      </c>
      <c r="J91" s="150" t="s">
        <v>4574</v>
      </c>
      <c r="K91" s="150" t="s">
        <v>5011</v>
      </c>
      <c r="Q91" s="401" t="s">
        <v>2853</v>
      </c>
    </row>
    <row r="92" spans="1:17" x14ac:dyDescent="0.35">
      <c r="A92" s="205">
        <f t="shared" si="6"/>
        <v>89</v>
      </c>
      <c r="B92" s="207"/>
      <c r="C92" s="205">
        <f t="shared" si="3"/>
        <v>89</v>
      </c>
      <c r="D92" s="152"/>
      <c r="E92" s="152"/>
      <c r="F92" s="150"/>
      <c r="G92" s="150"/>
      <c r="H92" s="150"/>
      <c r="I92" s="150"/>
      <c r="J92" s="150"/>
      <c r="K92" s="150"/>
      <c r="Q92" s="401" t="s">
        <v>2853</v>
      </c>
    </row>
    <row r="93" spans="1:17" x14ac:dyDescent="0.35">
      <c r="A93" s="205">
        <f t="shared" si="6"/>
        <v>90</v>
      </c>
      <c r="B93" s="207" t="str">
        <f>IF(ISBLANK(VLOOKUP(A93,$C$4:$V$9680,1+$A$1)),D93,VLOOKUP(A93,$C$4:$V$9680,1+$A$1))</f>
        <v>weniger als 4 m</v>
      </c>
      <c r="C93" s="205">
        <f t="shared" si="3"/>
        <v>90</v>
      </c>
      <c r="D93" s="150" t="s">
        <v>2920</v>
      </c>
      <c r="E93" s="150" t="s">
        <v>4117</v>
      </c>
      <c r="F93" s="150" t="s">
        <v>4081</v>
      </c>
      <c r="G93" s="150" t="s">
        <v>4154</v>
      </c>
      <c r="H93" s="150" t="s">
        <v>3398</v>
      </c>
      <c r="I93" s="150" t="s">
        <v>3847</v>
      </c>
      <c r="J93" s="150" t="s">
        <v>4575</v>
      </c>
      <c r="K93" s="150" t="s">
        <v>5012</v>
      </c>
      <c r="Q93" s="401" t="s">
        <v>2853</v>
      </c>
    </row>
    <row r="94" spans="1:17" x14ac:dyDescent="0.35">
      <c r="A94" s="205">
        <f t="shared" si="6"/>
        <v>91</v>
      </c>
      <c r="B94" s="207" t="str">
        <f>IF(ISBLANK(VLOOKUP(A94,$C$4:$V$9680,1+$A$1)),D94,VLOOKUP(A94,$C$4:$V$9680,1+$A$1))</f>
        <v>4m - 4.3m</v>
      </c>
      <c r="C94" s="205">
        <f t="shared" si="3"/>
        <v>91</v>
      </c>
      <c r="D94" s="150" t="s">
        <v>527</v>
      </c>
      <c r="E94" s="150" t="s">
        <v>527</v>
      </c>
      <c r="F94" s="150" t="s">
        <v>4082</v>
      </c>
      <c r="G94" s="150" t="s">
        <v>527</v>
      </c>
      <c r="H94" s="150" t="s">
        <v>527</v>
      </c>
      <c r="I94" s="150" t="s">
        <v>527</v>
      </c>
      <c r="J94" s="150" t="s">
        <v>527</v>
      </c>
      <c r="K94" s="150" t="s">
        <v>5013</v>
      </c>
      <c r="Q94" s="401" t="s">
        <v>2853</v>
      </c>
    </row>
    <row r="95" spans="1:17" x14ac:dyDescent="0.35">
      <c r="A95" s="205">
        <f t="shared" si="6"/>
        <v>92</v>
      </c>
      <c r="B95" s="207" t="str">
        <f>IF(ISBLANK(VLOOKUP(A95,$C$4:$V$9680,1+$A$1)),D95,VLOOKUP(A95,$C$4:$V$9680,1+$A$1))</f>
        <v>mehr als 3.3 m</v>
      </c>
      <c r="C95" s="205">
        <f t="shared" si="3"/>
        <v>92</v>
      </c>
      <c r="D95" s="150" t="s">
        <v>2921</v>
      </c>
      <c r="E95" s="150" t="s">
        <v>4118</v>
      </c>
      <c r="F95" s="150" t="s">
        <v>4083</v>
      </c>
      <c r="G95" s="150" t="s">
        <v>4155</v>
      </c>
      <c r="H95" s="150" t="s">
        <v>3399</v>
      </c>
      <c r="I95" s="150" t="s">
        <v>3848</v>
      </c>
      <c r="J95" s="150" t="s">
        <v>4576</v>
      </c>
      <c r="K95" s="150" t="s">
        <v>5014</v>
      </c>
      <c r="Q95" s="401" t="s">
        <v>2853</v>
      </c>
    </row>
    <row r="96" spans="1:17" x14ac:dyDescent="0.35">
      <c r="A96" s="205">
        <f t="shared" si="6"/>
        <v>93</v>
      </c>
      <c r="B96" s="207" t="str">
        <f>IF(ISBLANK(VLOOKUP(A96,$C$4:$V$9680,1+$A$1)),D96,VLOOKUP(A96,$C$4:$V$9680,1+$A$1))</f>
        <v>Keine Rampen</v>
      </c>
      <c r="C96" s="205">
        <f t="shared" si="3"/>
        <v>93</v>
      </c>
      <c r="D96" s="150" t="s">
        <v>170</v>
      </c>
      <c r="E96" s="150" t="s">
        <v>857</v>
      </c>
      <c r="F96" s="150" t="s">
        <v>1252</v>
      </c>
      <c r="G96" s="150" t="s">
        <v>1362</v>
      </c>
      <c r="H96" s="150" t="s">
        <v>2378</v>
      </c>
      <c r="I96" s="150" t="s">
        <v>3846</v>
      </c>
      <c r="J96" s="150" t="s">
        <v>4574</v>
      </c>
      <c r="K96" s="150" t="s">
        <v>5011</v>
      </c>
      <c r="Q96" s="401" t="s">
        <v>2853</v>
      </c>
    </row>
    <row r="97" spans="1:17" x14ac:dyDescent="0.35">
      <c r="A97" s="205">
        <f t="shared" si="6"/>
        <v>94</v>
      </c>
      <c r="B97" s="207"/>
      <c r="C97" s="205">
        <f t="shared" si="3"/>
        <v>94</v>
      </c>
      <c r="D97" s="152"/>
      <c r="E97" s="152"/>
      <c r="F97" s="150"/>
      <c r="G97" s="150"/>
      <c r="H97" s="150"/>
      <c r="I97" s="150"/>
      <c r="J97" s="150"/>
      <c r="K97" s="150"/>
    </row>
    <row r="98" spans="1:17" x14ac:dyDescent="0.35">
      <c r="A98" s="205">
        <f t="shared" si="6"/>
        <v>95</v>
      </c>
      <c r="B98" s="207" t="str">
        <f>IF(ISBLANK(VLOOKUP(A98,$C$4:$V$9680,1+$A$1)),D98,VLOOKUP(A98,$C$4:$V$9680,1+$A$1))</f>
        <v>weniger als 9 m</v>
      </c>
      <c r="C98" s="205">
        <f t="shared" si="3"/>
        <v>95</v>
      </c>
      <c r="D98" s="150" t="s">
        <v>2867</v>
      </c>
      <c r="E98" s="150" t="s">
        <v>4119</v>
      </c>
      <c r="F98" s="150" t="s">
        <v>4084</v>
      </c>
      <c r="G98" s="150" t="s">
        <v>4156</v>
      </c>
      <c r="H98" s="150" t="s">
        <v>3400</v>
      </c>
      <c r="I98" s="150" t="s">
        <v>3849</v>
      </c>
      <c r="J98" s="150" t="s">
        <v>4577</v>
      </c>
      <c r="K98" s="150" t="s">
        <v>5015</v>
      </c>
      <c r="Q98" s="401" t="s">
        <v>2853</v>
      </c>
    </row>
    <row r="99" spans="1:17" x14ac:dyDescent="0.35">
      <c r="A99" s="205">
        <f t="shared" si="6"/>
        <v>96</v>
      </c>
      <c r="B99" s="207" t="str">
        <f>IF(ISBLANK(VLOOKUP(A99,$C$4:$V$9680,1+$A$1)),D99,VLOOKUP(A99,$C$4:$V$9680,1+$A$1))</f>
        <v>9m – 10m</v>
      </c>
      <c r="C99" s="205">
        <f t="shared" si="3"/>
        <v>96</v>
      </c>
      <c r="D99" s="150" t="s">
        <v>530</v>
      </c>
      <c r="E99" s="150" t="s">
        <v>866</v>
      </c>
      <c r="F99" s="150" t="s">
        <v>4085</v>
      </c>
      <c r="G99" s="150" t="s">
        <v>530</v>
      </c>
      <c r="H99" s="150" t="s">
        <v>530</v>
      </c>
      <c r="I99" s="150" t="s">
        <v>530</v>
      </c>
      <c r="J99" s="150" t="s">
        <v>866</v>
      </c>
      <c r="K99" s="150" t="s">
        <v>530</v>
      </c>
      <c r="Q99" s="401" t="s">
        <v>2853</v>
      </c>
    </row>
    <row r="100" spans="1:17" x14ac:dyDescent="0.35">
      <c r="A100" s="205">
        <f t="shared" si="6"/>
        <v>97</v>
      </c>
      <c r="B100" s="207" t="str">
        <f>IF(ISBLANK(VLOOKUP(A100,$C$4:$V$9680,1+$A$1)),D100,VLOOKUP(A100,$C$4:$V$9680,1+$A$1))</f>
        <v>mehr als 10m</v>
      </c>
      <c r="C100" s="205">
        <f t="shared" si="3"/>
        <v>97</v>
      </c>
      <c r="D100" s="150" t="s">
        <v>2868</v>
      </c>
      <c r="E100" s="150" t="s">
        <v>4120</v>
      </c>
      <c r="F100" s="150" t="s">
        <v>4086</v>
      </c>
      <c r="G100" s="150" t="s">
        <v>4157</v>
      </c>
      <c r="H100" s="150" t="s">
        <v>3401</v>
      </c>
      <c r="I100" s="150" t="s">
        <v>3850</v>
      </c>
      <c r="J100" s="150" t="s">
        <v>4578</v>
      </c>
      <c r="K100" s="150" t="s">
        <v>5016</v>
      </c>
      <c r="Q100" s="401" t="s">
        <v>2853</v>
      </c>
    </row>
    <row r="101" spans="1:17" x14ac:dyDescent="0.35">
      <c r="A101" s="205">
        <f t="shared" si="6"/>
        <v>98</v>
      </c>
      <c r="B101" s="207" t="str">
        <f>IF(ISBLANK(VLOOKUP(A101,$C$4:$V$9680,1+$A$1)),D101,VLOOKUP(A101,$C$4:$V$9680,1+$A$1))</f>
        <v>Keine Rampen</v>
      </c>
      <c r="C101" s="205">
        <f t="shared" si="3"/>
        <v>98</v>
      </c>
      <c r="D101" s="150" t="s">
        <v>170</v>
      </c>
      <c r="E101" s="150" t="s">
        <v>858</v>
      </c>
      <c r="F101" s="150" t="s">
        <v>1252</v>
      </c>
      <c r="G101" s="150" t="s">
        <v>1362</v>
      </c>
      <c r="H101" s="150" t="s">
        <v>2378</v>
      </c>
      <c r="I101" s="150" t="s">
        <v>3846</v>
      </c>
      <c r="J101" s="150" t="s">
        <v>4574</v>
      </c>
      <c r="K101" s="150" t="s">
        <v>5011</v>
      </c>
      <c r="Q101" s="401" t="s">
        <v>2853</v>
      </c>
    </row>
    <row r="102" spans="1:17" x14ac:dyDescent="0.35">
      <c r="A102" s="205">
        <f t="shared" si="6"/>
        <v>99</v>
      </c>
      <c r="B102" s="207"/>
      <c r="C102" s="205">
        <f t="shared" si="3"/>
        <v>99</v>
      </c>
      <c r="F102" s="553"/>
      <c r="G102" s="553"/>
      <c r="H102" s="553"/>
      <c r="I102" s="553"/>
      <c r="J102" s="553"/>
      <c r="K102" s="553"/>
      <c r="Q102" s="401" t="s">
        <v>2853</v>
      </c>
    </row>
    <row r="103" spans="1:17" x14ac:dyDescent="0.35">
      <c r="A103" s="205">
        <f t="shared" si="6"/>
        <v>100</v>
      </c>
      <c r="B103" s="207" t="str">
        <f>IF(ISBLANK(VLOOKUP(A103,$C$4:$V$9680,1+$A$1)),D103,VLOOKUP(A103,$C$4:$V$9680,1+$A$1))</f>
        <v>Weniger als 7,5 m</v>
      </c>
      <c r="C103" s="205">
        <f t="shared" si="3"/>
        <v>100</v>
      </c>
      <c r="D103" s="150" t="s">
        <v>2869</v>
      </c>
      <c r="E103" s="150" t="s">
        <v>4121</v>
      </c>
      <c r="F103" s="553" t="s">
        <v>4087</v>
      </c>
      <c r="G103" s="553" t="s">
        <v>4158</v>
      </c>
      <c r="H103" s="553" t="s">
        <v>3402</v>
      </c>
      <c r="I103" s="553" t="s">
        <v>3851</v>
      </c>
      <c r="J103" s="553" t="s">
        <v>4579</v>
      </c>
      <c r="K103" s="553" t="s">
        <v>5017</v>
      </c>
      <c r="Q103" s="401" t="s">
        <v>2853</v>
      </c>
    </row>
    <row r="104" spans="1:17" x14ac:dyDescent="0.35">
      <c r="A104" s="205">
        <f t="shared" si="6"/>
        <v>101</v>
      </c>
      <c r="B104" s="207" t="str">
        <f>IF(ISBLANK(VLOOKUP(A104,$C$4:$V$9680,1+$A$1)),D104,VLOOKUP(A104,$C$4:$V$9680,1+$A$1))</f>
        <v>Zwischen 7,5 m und 9 m</v>
      </c>
      <c r="C104" s="205">
        <f t="shared" si="3"/>
        <v>101</v>
      </c>
      <c r="D104" s="150" t="s">
        <v>2870</v>
      </c>
      <c r="E104" s="150" t="s">
        <v>3012</v>
      </c>
      <c r="F104" s="553" t="s">
        <v>4088</v>
      </c>
      <c r="G104" s="553" t="s">
        <v>4159</v>
      </c>
      <c r="H104" s="553" t="s">
        <v>3403</v>
      </c>
      <c r="I104" s="553" t="s">
        <v>3852</v>
      </c>
      <c r="J104" s="553" t="s">
        <v>4580</v>
      </c>
      <c r="K104" s="553" t="s">
        <v>5018</v>
      </c>
      <c r="Q104" s="401" t="s">
        <v>2853</v>
      </c>
    </row>
    <row r="105" spans="1:17" x14ac:dyDescent="0.35">
      <c r="A105" s="205">
        <f t="shared" si="6"/>
        <v>102</v>
      </c>
      <c r="B105" s="207" t="str">
        <f>IF(ISBLANK(VLOOKUP(A105,$C$4:$V$9680,1+$A$1)),D105,VLOOKUP(A105,$C$4:$V$9680,1+$A$1))</f>
        <v>Mehr als 9m</v>
      </c>
      <c r="C105" s="205">
        <f t="shared" si="3"/>
        <v>102</v>
      </c>
      <c r="D105" s="150" t="s">
        <v>2871</v>
      </c>
      <c r="E105" s="150" t="s">
        <v>4122</v>
      </c>
      <c r="F105" s="553" t="s">
        <v>4089</v>
      </c>
      <c r="G105" s="553" t="s">
        <v>4160</v>
      </c>
      <c r="H105" s="553" t="s">
        <v>3404</v>
      </c>
      <c r="I105" s="553" t="s">
        <v>3853</v>
      </c>
      <c r="J105" s="553" t="s">
        <v>4581</v>
      </c>
      <c r="K105" s="553" t="s">
        <v>5019</v>
      </c>
      <c r="Q105" s="401" t="s">
        <v>2853</v>
      </c>
    </row>
    <row r="106" spans="1:17" x14ac:dyDescent="0.35">
      <c r="A106" s="205">
        <f t="shared" si="6"/>
        <v>103</v>
      </c>
      <c r="B106" s="207" t="str">
        <f>IF(ISBLANK(VLOOKUP(A106,$C$4:$V$9680,1+$A$1)),D106,VLOOKUP(A106,$C$4:$V$9680,1+$A$1))</f>
        <v>Keine Rampen</v>
      </c>
      <c r="C106" s="205">
        <f t="shared" si="3"/>
        <v>103</v>
      </c>
      <c r="D106" s="150" t="s">
        <v>170</v>
      </c>
      <c r="E106" s="150" t="s">
        <v>858</v>
      </c>
      <c r="F106" s="553" t="s">
        <v>1252</v>
      </c>
      <c r="G106" s="553" t="s">
        <v>1362</v>
      </c>
      <c r="H106" s="553" t="s">
        <v>2378</v>
      </c>
      <c r="I106" s="553" t="s">
        <v>3846</v>
      </c>
      <c r="J106" s="553" t="s">
        <v>4574</v>
      </c>
      <c r="K106" s="553" t="s">
        <v>5011</v>
      </c>
      <c r="Q106" s="401" t="s">
        <v>2853</v>
      </c>
    </row>
    <row r="107" spans="1:17" x14ac:dyDescent="0.35">
      <c r="A107" s="205">
        <f t="shared" si="6"/>
        <v>104</v>
      </c>
      <c r="B107" s="207"/>
      <c r="C107" s="205">
        <f t="shared" si="3"/>
        <v>104</v>
      </c>
      <c r="D107" s="152"/>
      <c r="F107" s="553"/>
      <c r="G107" s="553"/>
      <c r="H107" s="553"/>
      <c r="I107" s="553"/>
      <c r="J107" s="553"/>
      <c r="K107" s="553"/>
      <c r="Q107" s="401" t="s">
        <v>2853</v>
      </c>
    </row>
    <row r="108" spans="1:17" x14ac:dyDescent="0.35">
      <c r="A108" s="205">
        <f t="shared" si="6"/>
        <v>105</v>
      </c>
      <c r="B108" s="207" t="str">
        <f>IF(ISBLANK(VLOOKUP(A108,$C$4:$V$9680,1+$A$1)),D108,VLOOKUP(A108,$C$4:$V$9680,1+$A$1))</f>
        <v>weniger als 5%</v>
      </c>
      <c r="C108" s="205">
        <f t="shared" si="3"/>
        <v>105</v>
      </c>
      <c r="D108" s="150" t="s">
        <v>2872</v>
      </c>
      <c r="E108" s="150" t="s">
        <v>4123</v>
      </c>
      <c r="F108" s="150" t="s">
        <v>4090</v>
      </c>
      <c r="G108" s="150" t="s">
        <v>4162</v>
      </c>
      <c r="H108" s="150" t="s">
        <v>3405</v>
      </c>
      <c r="I108" s="150" t="s">
        <v>3854</v>
      </c>
      <c r="J108" s="150" t="s">
        <v>4582</v>
      </c>
      <c r="K108" s="150" t="s">
        <v>5020</v>
      </c>
      <c r="Q108" s="401" t="s">
        <v>2853</v>
      </c>
    </row>
    <row r="109" spans="1:17" x14ac:dyDescent="0.35">
      <c r="A109" s="205">
        <f t="shared" si="6"/>
        <v>106</v>
      </c>
      <c r="B109" s="207" t="str">
        <f>IF(ISBLANK(VLOOKUP(A109,$C$4:$V$9680,1+$A$1)),D109,VLOOKUP(A109,$C$4:$V$9680,1+$A$1))</f>
        <v>Zwischen 5 % und 7 %</v>
      </c>
      <c r="C109" s="205">
        <f t="shared" si="3"/>
        <v>106</v>
      </c>
      <c r="D109" s="150" t="s">
        <v>2873</v>
      </c>
      <c r="E109" s="150" t="s">
        <v>177</v>
      </c>
      <c r="F109" s="150" t="s">
        <v>4091</v>
      </c>
      <c r="G109" s="150" t="s">
        <v>4163</v>
      </c>
      <c r="H109" s="150" t="s">
        <v>3406</v>
      </c>
      <c r="I109" s="150" t="s">
        <v>3855</v>
      </c>
      <c r="J109" s="150" t="s">
        <v>4583</v>
      </c>
      <c r="K109" s="150" t="s">
        <v>5021</v>
      </c>
      <c r="Q109" s="401" t="s">
        <v>2853</v>
      </c>
    </row>
    <row r="110" spans="1:17" x14ac:dyDescent="0.35">
      <c r="A110" s="205">
        <f t="shared" si="6"/>
        <v>107</v>
      </c>
      <c r="B110" s="207" t="str">
        <f>IF(ISBLANK(VLOOKUP(A110,$C$4:$V$9680,1+$A$1)),D110,VLOOKUP(A110,$C$4:$V$9680,1+$A$1))</f>
        <v>mehr als 7%</v>
      </c>
      <c r="C110" s="205">
        <f t="shared" si="3"/>
        <v>107</v>
      </c>
      <c r="D110" s="150" t="s">
        <v>2874</v>
      </c>
      <c r="E110" s="150" t="s">
        <v>4124</v>
      </c>
      <c r="F110" s="150" t="s">
        <v>4092</v>
      </c>
      <c r="G110" s="150" t="s">
        <v>4164</v>
      </c>
      <c r="H110" s="150" t="s">
        <v>3407</v>
      </c>
      <c r="I110" s="150" t="s">
        <v>3856</v>
      </c>
      <c r="J110" s="150" t="s">
        <v>4584</v>
      </c>
      <c r="K110" s="150" t="s">
        <v>5022</v>
      </c>
      <c r="Q110" s="401" t="s">
        <v>2853</v>
      </c>
    </row>
    <row r="111" spans="1:17" ht="26" x14ac:dyDescent="0.35">
      <c r="A111" s="205">
        <f t="shared" si="6"/>
        <v>108</v>
      </c>
      <c r="B111" s="207" t="str">
        <f>IF(ISBLANK(VLOOKUP(A111,$C$4:$V$9680,1+$A$1)),D111,VLOOKUP(A111,$C$4:$V$9680,1+$A$1))</f>
        <v>Kein Gefälle</v>
      </c>
      <c r="C111" s="205">
        <f t="shared" si="3"/>
        <v>108</v>
      </c>
      <c r="D111" s="150" t="s">
        <v>2875</v>
      </c>
      <c r="E111" s="150" t="s">
        <v>859</v>
      </c>
      <c r="F111" s="150" t="s">
        <v>1253</v>
      </c>
      <c r="G111" s="150" t="s">
        <v>1425</v>
      </c>
      <c r="H111" s="150" t="s">
        <v>4161</v>
      </c>
      <c r="I111" s="150" t="s">
        <v>3857</v>
      </c>
      <c r="J111" s="150" t="s">
        <v>4585</v>
      </c>
      <c r="K111" s="150" t="s">
        <v>5023</v>
      </c>
      <c r="Q111" s="401" t="s">
        <v>2853</v>
      </c>
    </row>
    <row r="112" spans="1:17" x14ac:dyDescent="0.35">
      <c r="A112" s="205">
        <f t="shared" si="6"/>
        <v>109</v>
      </c>
      <c r="B112" s="207"/>
      <c r="C112" s="205">
        <f t="shared" si="3"/>
        <v>109</v>
      </c>
      <c r="D112" s="152"/>
      <c r="F112" s="553"/>
      <c r="G112" s="553"/>
      <c r="H112" s="553"/>
      <c r="I112" s="553"/>
      <c r="J112" s="553"/>
      <c r="K112" s="553"/>
      <c r="Q112" s="401" t="s">
        <v>2853</v>
      </c>
    </row>
    <row r="113" spans="1:17" x14ac:dyDescent="0.35">
      <c r="A113" s="205">
        <f t="shared" si="6"/>
        <v>110</v>
      </c>
      <c r="B113" s="207" t="str">
        <f>IF(ISBLANK(VLOOKUP(A113,$C$4:$V$9680,1+$A$1)),D113,VLOOKUP(A113,$C$4:$V$9680,1+$A$1))</f>
        <v>weniger als 2m</v>
      </c>
      <c r="C113" s="205">
        <f t="shared" si="3"/>
        <v>110</v>
      </c>
      <c r="D113" s="150" t="s">
        <v>2876</v>
      </c>
      <c r="E113" s="150" t="s">
        <v>4125</v>
      </c>
      <c r="F113" s="150" t="s">
        <v>4093</v>
      </c>
      <c r="G113" s="150" t="s">
        <v>4167</v>
      </c>
      <c r="H113" s="150" t="s">
        <v>3408</v>
      </c>
      <c r="I113" s="150" t="s">
        <v>3858</v>
      </c>
      <c r="J113" s="150" t="s">
        <v>4586</v>
      </c>
      <c r="K113" s="150" t="s">
        <v>5024</v>
      </c>
      <c r="Q113" s="401" t="s">
        <v>2853</v>
      </c>
    </row>
    <row r="114" spans="1:17" x14ac:dyDescent="0.35">
      <c r="A114" s="205">
        <f t="shared" si="6"/>
        <v>111</v>
      </c>
      <c r="B114" s="207" t="str">
        <f>IF(ISBLANK(VLOOKUP(A114,$C$4:$V$9680,1+$A$1)),D114,VLOOKUP(A114,$C$4:$V$9680,1+$A$1))</f>
        <v>2.00m – 2.10m</v>
      </c>
      <c r="C114" s="205">
        <f t="shared" si="3"/>
        <v>111</v>
      </c>
      <c r="D114" s="150" t="s">
        <v>190</v>
      </c>
      <c r="E114" s="150" t="s">
        <v>863</v>
      </c>
      <c r="F114" s="150" t="s">
        <v>4094</v>
      </c>
      <c r="G114" s="150" t="s">
        <v>190</v>
      </c>
      <c r="H114" s="150" t="s">
        <v>3409</v>
      </c>
      <c r="I114" s="150" t="s">
        <v>190</v>
      </c>
      <c r="J114" s="150" t="s">
        <v>863</v>
      </c>
      <c r="K114" s="150" t="s">
        <v>190</v>
      </c>
      <c r="Q114" s="401" t="s">
        <v>2853</v>
      </c>
    </row>
    <row r="115" spans="1:17" x14ac:dyDescent="0.35">
      <c r="A115" s="205">
        <f t="shared" si="5"/>
        <v>112</v>
      </c>
      <c r="B115" s="207" t="str">
        <f>IF(ISBLANK(VLOOKUP(A115,$C$4:$V$9680,1+$A$1)),D115,VLOOKUP(A115,$C$4:$V$9680,1+$A$1))</f>
        <v>2.10m – 2.20m</v>
      </c>
      <c r="C115" s="205">
        <f t="shared" si="3"/>
        <v>112</v>
      </c>
      <c r="D115" s="150" t="s">
        <v>188</v>
      </c>
      <c r="E115" s="150" t="s">
        <v>864</v>
      </c>
      <c r="F115" s="150" t="s">
        <v>4095</v>
      </c>
      <c r="G115" s="150" t="s">
        <v>188</v>
      </c>
      <c r="H115" s="150" t="s">
        <v>3410</v>
      </c>
      <c r="I115" s="150" t="s">
        <v>188</v>
      </c>
      <c r="J115" s="150" t="s">
        <v>4587</v>
      </c>
      <c r="K115" s="150" t="s">
        <v>188</v>
      </c>
      <c r="Q115" s="401" t="s">
        <v>2853</v>
      </c>
    </row>
    <row r="116" spans="1:17" x14ac:dyDescent="0.35">
      <c r="A116" s="205">
        <f t="shared" si="5"/>
        <v>113</v>
      </c>
      <c r="B116" s="207" t="str">
        <f>IF(ISBLANK(VLOOKUP(A116,$C$4:$V$9680,1+$A$1)),D116,VLOOKUP(A116,$C$4:$V$9680,1+$A$1))</f>
        <v>mehr als 2.20 m</v>
      </c>
      <c r="C116" s="205">
        <f t="shared" ref="C116:C169" si="7">+C115+1</f>
        <v>113</v>
      </c>
      <c r="D116" s="150" t="s">
        <v>2877</v>
      </c>
      <c r="E116" s="150" t="s">
        <v>4126</v>
      </c>
      <c r="F116" s="150" t="s">
        <v>4096</v>
      </c>
      <c r="G116" s="150" t="s">
        <v>4168</v>
      </c>
      <c r="H116" s="150" t="s">
        <v>3411</v>
      </c>
      <c r="I116" s="150" t="s">
        <v>3859</v>
      </c>
      <c r="J116" s="150" t="s">
        <v>4588</v>
      </c>
      <c r="K116" s="150" t="s">
        <v>5025</v>
      </c>
      <c r="Q116" s="401" t="s">
        <v>2853</v>
      </c>
    </row>
    <row r="117" spans="1:17" x14ac:dyDescent="0.35">
      <c r="A117" s="205">
        <f t="shared" si="5"/>
        <v>114</v>
      </c>
      <c r="B117" s="207"/>
      <c r="C117" s="205">
        <f t="shared" si="7"/>
        <v>114</v>
      </c>
      <c r="D117" s="150"/>
      <c r="E117" s="150"/>
      <c r="F117" s="150"/>
      <c r="G117" s="150"/>
      <c r="H117" s="150"/>
      <c r="I117" s="150"/>
      <c r="J117" s="150"/>
      <c r="K117" s="150"/>
      <c r="Q117" s="401" t="s">
        <v>2853</v>
      </c>
    </row>
    <row r="118" spans="1:17" ht="39" x14ac:dyDescent="0.35">
      <c r="A118" s="205">
        <f t="shared" si="5"/>
        <v>115</v>
      </c>
      <c r="B118" s="207" t="str">
        <f>IF(ISBLANK(VLOOKUP(A118,$C$4:$V$9680,1+$A$1)),D118,VLOOKUP(A118,$C$4:$V$9680,1+$A$1))</f>
        <v>Ja (automatisch oder offene Verbindung)</v>
      </c>
      <c r="C118" s="205">
        <f t="shared" si="7"/>
        <v>115</v>
      </c>
      <c r="D118" s="150" t="s">
        <v>191</v>
      </c>
      <c r="E118" s="150" t="s">
        <v>810</v>
      </c>
      <c r="F118" s="150" t="s">
        <v>1197</v>
      </c>
      <c r="G118" s="150" t="s">
        <v>1363</v>
      </c>
      <c r="H118" s="150" t="s">
        <v>2379</v>
      </c>
      <c r="I118" s="150" t="s">
        <v>3860</v>
      </c>
      <c r="J118" s="150" t="s">
        <v>4589</v>
      </c>
      <c r="K118" s="150" t="s">
        <v>5026</v>
      </c>
      <c r="Q118" s="401" t="s">
        <v>2853</v>
      </c>
    </row>
    <row r="119" spans="1:17" x14ac:dyDescent="0.35">
      <c r="A119" s="205">
        <f t="shared" si="5"/>
        <v>116</v>
      </c>
      <c r="B119" s="207" t="str">
        <f>IF(ISBLANK(VLOOKUP(A119,$C$4:$V$9680,1+$A$1)),D119,VLOOKUP(A119,$C$4:$V$9680,1+$A$1))</f>
        <v>Leicht zu öffnen</v>
      </c>
      <c r="C119" s="205">
        <f t="shared" si="7"/>
        <v>116</v>
      </c>
      <c r="D119" s="150" t="s">
        <v>192</v>
      </c>
      <c r="E119" s="150" t="s">
        <v>811</v>
      </c>
      <c r="F119" s="150" t="s">
        <v>1198</v>
      </c>
      <c r="G119" s="150" t="s">
        <v>1364</v>
      </c>
      <c r="H119" s="150" t="s">
        <v>2380</v>
      </c>
      <c r="I119" s="150" t="s">
        <v>3861</v>
      </c>
      <c r="J119" s="150" t="s">
        <v>4590</v>
      </c>
      <c r="K119" s="150" t="s">
        <v>5027</v>
      </c>
      <c r="Q119" s="401" t="s">
        <v>2853</v>
      </c>
    </row>
    <row r="120" spans="1:17" x14ac:dyDescent="0.35">
      <c r="A120" s="205">
        <f t="shared" si="5"/>
        <v>117</v>
      </c>
      <c r="B120" s="207" t="str">
        <f>IF(ISBLANK(VLOOKUP(A120,$C$4:$V$9680,1+$A$1)),D120,VLOOKUP(A120,$C$4:$V$9680,1+$A$1))</f>
        <v>Nein</v>
      </c>
      <c r="C120" s="205">
        <f t="shared" si="7"/>
        <v>117</v>
      </c>
      <c r="D120" s="150" t="s">
        <v>131</v>
      </c>
      <c r="E120" s="150" t="s">
        <v>792</v>
      </c>
      <c r="F120" s="150"/>
      <c r="G120" s="150" t="s">
        <v>1338</v>
      </c>
      <c r="H120" s="150" t="s">
        <v>2354</v>
      </c>
      <c r="I120" s="150" t="s">
        <v>3808</v>
      </c>
      <c r="J120" s="150" t="s">
        <v>4591</v>
      </c>
      <c r="K120" s="150" t="s">
        <v>131</v>
      </c>
      <c r="Q120" s="401" t="s">
        <v>2853</v>
      </c>
    </row>
    <row r="121" spans="1:17" x14ac:dyDescent="0.35">
      <c r="A121" s="205">
        <f t="shared" si="5"/>
        <v>118</v>
      </c>
      <c r="B121" s="207"/>
      <c r="C121" s="205">
        <f t="shared" si="7"/>
        <v>118</v>
      </c>
      <c r="D121" s="150"/>
      <c r="E121" s="150"/>
      <c r="F121" s="150"/>
      <c r="G121" s="150"/>
      <c r="H121" s="150"/>
      <c r="I121" s="150"/>
      <c r="J121" s="150"/>
      <c r="K121" s="150"/>
      <c r="Q121" s="401" t="s">
        <v>2853</v>
      </c>
    </row>
    <row r="122" spans="1:17" x14ac:dyDescent="0.35">
      <c r="A122" s="205">
        <f t="shared" si="5"/>
        <v>119</v>
      </c>
      <c r="B122" s="207" t="str">
        <f>IF(ISBLANK(VLOOKUP(A122,$C$4:$V$9680,1+$A$1)),D122,VLOOKUP(A122,$C$4:$V$9680,1+$A$1))</f>
        <v>Ein Aufzug</v>
      </c>
      <c r="C122" s="205">
        <f t="shared" si="7"/>
        <v>119</v>
      </c>
      <c r="D122" s="150" t="s">
        <v>201</v>
      </c>
      <c r="E122" s="150" t="s">
        <v>1803</v>
      </c>
      <c r="F122" s="150" t="s">
        <v>1200</v>
      </c>
      <c r="G122" s="150" t="s">
        <v>1367</v>
      </c>
      <c r="H122" s="150" t="s">
        <v>2381</v>
      </c>
      <c r="I122" s="150" t="s">
        <v>3862</v>
      </c>
      <c r="J122" s="150" t="s">
        <v>4592</v>
      </c>
      <c r="K122" s="150" t="s">
        <v>5028</v>
      </c>
      <c r="Q122" s="401" t="s">
        <v>2853</v>
      </c>
    </row>
    <row r="123" spans="1:17" ht="26" x14ac:dyDescent="0.35">
      <c r="A123" s="205">
        <f t="shared" si="5"/>
        <v>120</v>
      </c>
      <c r="B123" s="207" t="str">
        <f>IF(ISBLANK(VLOOKUP(A123,$C$4:$V$9680,1+$A$1)),D123,VLOOKUP(A123,$C$4:$V$9680,1+$A$1))</f>
        <v>Zwei oder mehr Aufzüge</v>
      </c>
      <c r="C123" s="205">
        <f t="shared" si="7"/>
        <v>120</v>
      </c>
      <c r="D123" s="150" t="s">
        <v>202</v>
      </c>
      <c r="E123" s="150" t="s">
        <v>812</v>
      </c>
      <c r="F123" s="150" t="s">
        <v>1201</v>
      </c>
      <c r="G123" s="150" t="s">
        <v>1368</v>
      </c>
      <c r="H123" s="150" t="s">
        <v>2382</v>
      </c>
      <c r="I123" s="150" t="s">
        <v>3863</v>
      </c>
      <c r="J123" s="150" t="s">
        <v>4593</v>
      </c>
      <c r="K123" s="150" t="s">
        <v>5029</v>
      </c>
      <c r="Q123" s="401" t="s">
        <v>2853</v>
      </c>
    </row>
    <row r="124" spans="1:17" x14ac:dyDescent="0.35">
      <c r="A124" s="205">
        <f t="shared" si="5"/>
        <v>121</v>
      </c>
      <c r="B124" s="207"/>
      <c r="C124" s="205">
        <f t="shared" si="7"/>
        <v>121</v>
      </c>
      <c r="D124" s="150"/>
      <c r="E124" s="150"/>
      <c r="F124" s="150"/>
      <c r="G124" s="150"/>
      <c r="H124" s="150"/>
      <c r="I124" s="150"/>
      <c r="J124" s="150"/>
      <c r="K124" s="150"/>
      <c r="Q124" s="401" t="s">
        <v>2853</v>
      </c>
    </row>
    <row r="125" spans="1:17" x14ac:dyDescent="0.35">
      <c r="A125" s="205">
        <f t="shared" si="5"/>
        <v>122</v>
      </c>
      <c r="B125" s="207" t="str">
        <f>IF(ISBLANK(VLOOKUP(A125,$C$4:$V$9680,1+$A$1)),D125,VLOOKUP(A125,$C$4:$V$9680,1+$A$1))</f>
        <v>Mehr als 8 Personen</v>
      </c>
      <c r="C125" s="205">
        <f t="shared" si="7"/>
        <v>122</v>
      </c>
      <c r="D125" s="150" t="s">
        <v>204</v>
      </c>
      <c r="E125" s="150" t="s">
        <v>813</v>
      </c>
      <c r="F125" s="150" t="s">
        <v>3269</v>
      </c>
      <c r="G125" s="150" t="s">
        <v>1369</v>
      </c>
      <c r="H125" s="150" t="s">
        <v>2383</v>
      </c>
      <c r="I125" s="150" t="s">
        <v>3864</v>
      </c>
      <c r="J125" s="150" t="s">
        <v>4594</v>
      </c>
      <c r="K125" s="150" t="s">
        <v>5030</v>
      </c>
      <c r="Q125" s="401" t="s">
        <v>2853</v>
      </c>
    </row>
    <row r="126" spans="1:17" x14ac:dyDescent="0.35">
      <c r="A126" s="205">
        <f t="shared" si="5"/>
        <v>123</v>
      </c>
      <c r="B126" s="207" t="str">
        <f>IF(ISBLANK(VLOOKUP(A126,$C$4:$V$9680,1+$A$1)),D126,VLOOKUP(A126,$C$4:$V$9680,1+$A$1))</f>
        <v>4 bis 8 Personen</v>
      </c>
      <c r="C126" s="205">
        <f t="shared" si="7"/>
        <v>123</v>
      </c>
      <c r="D126" s="150" t="s">
        <v>205</v>
      </c>
      <c r="E126" s="150" t="s">
        <v>865</v>
      </c>
      <c r="F126" s="150" t="s">
        <v>1202</v>
      </c>
      <c r="G126" s="150" t="s">
        <v>1370</v>
      </c>
      <c r="H126" s="150" t="s">
        <v>2384</v>
      </c>
      <c r="I126" s="150" t="s">
        <v>3865</v>
      </c>
      <c r="J126" s="150" t="s">
        <v>4595</v>
      </c>
      <c r="K126" s="150" t="s">
        <v>5031</v>
      </c>
      <c r="Q126" s="401" t="s">
        <v>2853</v>
      </c>
    </row>
    <row r="127" spans="1:17" x14ac:dyDescent="0.35">
      <c r="A127" s="205">
        <f t="shared" si="5"/>
        <v>124</v>
      </c>
      <c r="B127" s="207" t="str">
        <f>IF(ISBLANK(VLOOKUP(A127,$C$4:$V$9680,1+$A$1)),D127,VLOOKUP(A127,$C$4:$V$9680,1+$A$1))</f>
        <v>Weniger als 4</v>
      </c>
      <c r="C127" s="205">
        <f t="shared" si="7"/>
        <v>124</v>
      </c>
      <c r="D127" s="150" t="s">
        <v>206</v>
      </c>
      <c r="E127" s="150" t="s">
        <v>814</v>
      </c>
      <c r="F127" s="150" t="s">
        <v>1203</v>
      </c>
      <c r="G127" s="150" t="s">
        <v>1371</v>
      </c>
      <c r="H127" s="150" t="s">
        <v>2385</v>
      </c>
      <c r="I127" s="150" t="s">
        <v>3866</v>
      </c>
      <c r="J127" s="150" t="s">
        <v>4596</v>
      </c>
      <c r="K127" s="150" t="s">
        <v>5032</v>
      </c>
      <c r="Q127" s="401" t="s">
        <v>2853</v>
      </c>
    </row>
    <row r="128" spans="1:17" x14ac:dyDescent="0.35">
      <c r="A128" s="205">
        <f t="shared" si="5"/>
        <v>125</v>
      </c>
      <c r="B128" s="207"/>
      <c r="C128" s="205">
        <f t="shared" si="7"/>
        <v>125</v>
      </c>
      <c r="D128" s="150"/>
      <c r="E128" s="150"/>
      <c r="F128" s="150"/>
      <c r="G128" s="150"/>
      <c r="H128" s="150"/>
      <c r="I128" s="150"/>
      <c r="J128" s="150"/>
      <c r="K128" s="150"/>
      <c r="Q128" s="401" t="s">
        <v>2853</v>
      </c>
    </row>
    <row r="129" spans="1:17" ht="26" x14ac:dyDescent="0.35">
      <c r="A129" s="205">
        <f t="shared" si="5"/>
        <v>126</v>
      </c>
      <c r="B129" s="207" t="str">
        <f>IF(ISBLANK(VLOOKUP(A129,$C$4:$V$9680,1+$A$1)),D129,VLOOKUP(A129,$C$4:$V$9680,1+$A$1))</f>
        <v>Keine Sicht aus dem Aufzug</v>
      </c>
      <c r="C129" s="205">
        <f t="shared" si="7"/>
        <v>126</v>
      </c>
      <c r="D129" s="150" t="s">
        <v>207</v>
      </c>
      <c r="E129" s="150" t="s">
        <v>815</v>
      </c>
      <c r="F129" s="150" t="s">
        <v>1204</v>
      </c>
      <c r="G129" s="150" t="s">
        <v>1372</v>
      </c>
      <c r="H129" s="150" t="s">
        <v>3412</v>
      </c>
      <c r="I129" s="150" t="s">
        <v>3867</v>
      </c>
      <c r="J129" s="150" t="s">
        <v>4597</v>
      </c>
      <c r="K129" s="150" t="s">
        <v>5033</v>
      </c>
      <c r="Q129" s="401" t="s">
        <v>2853</v>
      </c>
    </row>
    <row r="130" spans="1:17" ht="26" x14ac:dyDescent="0.35">
      <c r="A130" s="205">
        <f t="shared" si="5"/>
        <v>127</v>
      </c>
      <c r="B130" s="207" t="str">
        <f>IF(ISBLANK(VLOOKUP(A130,$C$4:$V$9680,1+$A$1)),D130,VLOOKUP(A130,$C$4:$V$9680,1+$A$1))</f>
        <v>Verglaste Türen/Wände</v>
      </c>
      <c r="C130" s="205">
        <f t="shared" si="7"/>
        <v>127</v>
      </c>
      <c r="D130" s="150" t="s">
        <v>208</v>
      </c>
      <c r="E130" s="150" t="s">
        <v>816</v>
      </c>
      <c r="F130" s="150" t="s">
        <v>1205</v>
      </c>
      <c r="G130" s="150" t="s">
        <v>1373</v>
      </c>
      <c r="H130" s="150" t="s">
        <v>2386</v>
      </c>
      <c r="I130" s="150" t="s">
        <v>3868</v>
      </c>
      <c r="J130" s="150" t="s">
        <v>4598</v>
      </c>
      <c r="K130" s="150" t="s">
        <v>5034</v>
      </c>
      <c r="Q130" s="401" t="s">
        <v>2853</v>
      </c>
    </row>
    <row r="131" spans="1:17" x14ac:dyDescent="0.35">
      <c r="A131" s="205">
        <f t="shared" si="5"/>
        <v>128</v>
      </c>
      <c r="B131" s="207" t="str">
        <f>IF(ISBLANK(VLOOKUP(A131,$C$4:$V$9680,1+$A$1)),D131,VLOOKUP(A131,$C$4:$V$9680,1+$A$1))</f>
        <v>Kein Aufzug</v>
      </c>
      <c r="C131" s="205">
        <f t="shared" si="7"/>
        <v>128</v>
      </c>
      <c r="D131" s="150" t="s">
        <v>200</v>
      </c>
      <c r="E131" s="150" t="s">
        <v>817</v>
      </c>
      <c r="F131" s="150" t="s">
        <v>1206</v>
      </c>
      <c r="G131" s="150" t="s">
        <v>1374</v>
      </c>
      <c r="H131" s="150" t="s">
        <v>2387</v>
      </c>
      <c r="I131" s="150" t="s">
        <v>3869</v>
      </c>
      <c r="J131" s="150" t="s">
        <v>4599</v>
      </c>
      <c r="K131" s="150" t="s">
        <v>5035</v>
      </c>
      <c r="Q131" s="401" t="s">
        <v>2853</v>
      </c>
    </row>
    <row r="132" spans="1:17" x14ac:dyDescent="0.35">
      <c r="A132" s="205">
        <f t="shared" si="5"/>
        <v>129</v>
      </c>
      <c r="B132" s="207"/>
      <c r="C132" s="205">
        <f t="shared" si="7"/>
        <v>129</v>
      </c>
      <c r="D132" s="151"/>
      <c r="E132" s="151"/>
      <c r="F132" s="150"/>
      <c r="G132" s="150"/>
      <c r="H132" s="150"/>
      <c r="I132" s="150"/>
      <c r="J132" s="150"/>
      <c r="K132" s="150"/>
      <c r="Q132" s="401" t="s">
        <v>2853</v>
      </c>
    </row>
    <row r="133" spans="1:17" x14ac:dyDescent="0.35">
      <c r="A133" s="205">
        <f t="shared" si="5"/>
        <v>130</v>
      </c>
      <c r="B133" s="207" t="str">
        <f>IF(ISBLANK(VLOOKUP(A133,$C$4:$V$9680,1+$A$1)),D133,VLOOKUP(A133,$C$4:$V$9680,1+$A$1))</f>
        <v>weniger als 1,5 m</v>
      </c>
      <c r="C133" s="205">
        <f t="shared" si="7"/>
        <v>130</v>
      </c>
      <c r="D133" s="150" t="s">
        <v>2881</v>
      </c>
      <c r="E133" s="150" t="s">
        <v>4127</v>
      </c>
      <c r="F133" s="150" t="s">
        <v>4097</v>
      </c>
      <c r="G133" s="150" t="s">
        <v>4169</v>
      </c>
      <c r="H133" s="150" t="s">
        <v>3413</v>
      </c>
      <c r="I133" s="150" t="s">
        <v>3870</v>
      </c>
      <c r="J133" s="150" t="s">
        <v>4600</v>
      </c>
      <c r="K133" s="150" t="s">
        <v>5036</v>
      </c>
      <c r="Q133" s="401" t="s">
        <v>2853</v>
      </c>
    </row>
    <row r="134" spans="1:17" x14ac:dyDescent="0.35">
      <c r="A134" s="205">
        <f t="shared" si="5"/>
        <v>131</v>
      </c>
      <c r="B134" s="207" t="str">
        <f>IF(ISBLANK(VLOOKUP(A134,$C$4:$V$9680,1+$A$1)),D134,VLOOKUP(A134,$C$4:$V$9680,1+$A$1))</f>
        <v>mehr als 1,5 m</v>
      </c>
      <c r="C134" s="205">
        <f t="shared" si="7"/>
        <v>131</v>
      </c>
      <c r="D134" s="150" t="s">
        <v>2882</v>
      </c>
      <c r="E134" s="150" t="s">
        <v>4128</v>
      </c>
      <c r="F134" s="150" t="s">
        <v>4098</v>
      </c>
      <c r="G134" s="150" t="s">
        <v>4170</v>
      </c>
      <c r="H134" s="150" t="s">
        <v>3414</v>
      </c>
      <c r="I134" s="150" t="s">
        <v>3871</v>
      </c>
      <c r="J134" s="150" t="s">
        <v>4601</v>
      </c>
      <c r="K134" s="150" t="s">
        <v>5037</v>
      </c>
      <c r="Q134" s="401" t="s">
        <v>2853</v>
      </c>
    </row>
    <row r="135" spans="1:17" x14ac:dyDescent="0.35">
      <c r="A135" s="205">
        <f t="shared" si="5"/>
        <v>132</v>
      </c>
      <c r="B135" s="207"/>
      <c r="C135" s="205">
        <f t="shared" si="7"/>
        <v>132</v>
      </c>
      <c r="D135" s="150"/>
      <c r="E135" s="150"/>
      <c r="F135" s="150"/>
      <c r="G135" s="150"/>
      <c r="H135" s="150"/>
      <c r="I135" s="150"/>
      <c r="J135" s="150"/>
      <c r="K135" s="150"/>
      <c r="Q135" s="401" t="s">
        <v>2853</v>
      </c>
    </row>
    <row r="136" spans="1:17" x14ac:dyDescent="0.35">
      <c r="A136" s="205">
        <f t="shared" si="5"/>
        <v>133</v>
      </c>
      <c r="B136" s="207" t="str">
        <f>IF(ISBLANK(VLOOKUP(A136,$C$4:$V$9680,1+$A$1)),D136,VLOOKUP(A136,$C$4:$V$9680,1+$A$1))</f>
        <v>weniger als 90cm</v>
      </c>
      <c r="C136" s="205">
        <f t="shared" si="7"/>
        <v>133</v>
      </c>
      <c r="D136" s="150" t="s">
        <v>2879</v>
      </c>
      <c r="E136" s="150" t="s">
        <v>4129</v>
      </c>
      <c r="F136" s="150" t="s">
        <v>4099</v>
      </c>
      <c r="G136" s="150" t="s">
        <v>4171</v>
      </c>
      <c r="H136" s="150" t="s">
        <v>3415</v>
      </c>
      <c r="I136" s="150" t="s">
        <v>3872</v>
      </c>
      <c r="J136" s="150" t="s">
        <v>4602</v>
      </c>
      <c r="K136" s="150" t="s">
        <v>5038</v>
      </c>
      <c r="Q136" s="401" t="s">
        <v>2853</v>
      </c>
    </row>
    <row r="137" spans="1:17" ht="26" x14ac:dyDescent="0.35">
      <c r="A137" s="205">
        <f t="shared" si="5"/>
        <v>134</v>
      </c>
      <c r="B137" s="207" t="str">
        <f>IF(ISBLANK(VLOOKUP(A137,$C$4:$V$9680,1+$A$1)),D137,VLOOKUP(A137,$C$4:$V$9680,1+$A$1))</f>
        <v>größer oder gleich 90 cm</v>
      </c>
      <c r="C137" s="205">
        <f t="shared" si="7"/>
        <v>134</v>
      </c>
      <c r="D137" s="150" t="s">
        <v>2880</v>
      </c>
      <c r="E137" s="150" t="s">
        <v>4130</v>
      </c>
      <c r="F137" s="150" t="s">
        <v>4100</v>
      </c>
      <c r="G137" s="150" t="s">
        <v>4172</v>
      </c>
      <c r="H137" s="150" t="s">
        <v>3416</v>
      </c>
      <c r="I137" s="150" t="s">
        <v>3873</v>
      </c>
      <c r="J137" s="150" t="s">
        <v>4603</v>
      </c>
      <c r="K137" s="150" t="s">
        <v>5039</v>
      </c>
      <c r="Q137" s="401" t="s">
        <v>2853</v>
      </c>
    </row>
    <row r="138" spans="1:17" x14ac:dyDescent="0.35">
      <c r="A138" s="205">
        <f t="shared" si="5"/>
        <v>135</v>
      </c>
      <c r="B138" s="207"/>
      <c r="C138" s="205">
        <f t="shared" si="7"/>
        <v>135</v>
      </c>
      <c r="D138" s="150"/>
      <c r="E138" s="150"/>
      <c r="F138" s="150"/>
      <c r="G138" s="150"/>
      <c r="H138" s="150"/>
      <c r="I138" s="150"/>
      <c r="J138" s="150"/>
      <c r="K138" s="150"/>
      <c r="Q138" s="401" t="s">
        <v>2853</v>
      </c>
    </row>
    <row r="139" spans="1:17" ht="26" x14ac:dyDescent="0.35">
      <c r="A139" s="205">
        <f t="shared" si="5"/>
        <v>136</v>
      </c>
      <c r="B139" s="207" t="str">
        <f>IF(ISBLANK(VLOOKUP(A139,$C$4:$V$9680,1+$A$1)),D139,VLOOKUP(A139,$C$4:$V$9680,1+$A$1))</f>
        <v>Verglaste Türen/Wände</v>
      </c>
      <c r="C139" s="205">
        <f t="shared" si="7"/>
        <v>136</v>
      </c>
      <c r="D139" s="150" t="s">
        <v>251</v>
      </c>
      <c r="E139" s="150" t="s">
        <v>818</v>
      </c>
      <c r="F139" s="150" t="s">
        <v>1205</v>
      </c>
      <c r="G139" s="150" t="s">
        <v>1373</v>
      </c>
      <c r="H139" s="150" t="s">
        <v>2388</v>
      </c>
      <c r="I139" s="150" t="s">
        <v>3874</v>
      </c>
      <c r="J139" s="150" t="s">
        <v>4604</v>
      </c>
      <c r="K139" s="150" t="s">
        <v>5040</v>
      </c>
      <c r="Q139" s="401" t="s">
        <v>2853</v>
      </c>
    </row>
    <row r="140" spans="1:17" x14ac:dyDescent="0.35">
      <c r="A140" s="205">
        <f t="shared" si="5"/>
        <v>137</v>
      </c>
      <c r="B140" s="207" t="str">
        <f>IF(ISBLANK(VLOOKUP(A140,$C$4:$V$9680,1+$A$1)),D140,VLOOKUP(A140,$C$4:$V$9680,1+$A$1))</f>
        <v>Kein Glas</v>
      </c>
      <c r="C140" s="205">
        <f t="shared" si="7"/>
        <v>137</v>
      </c>
      <c r="D140" s="150" t="s">
        <v>252</v>
      </c>
      <c r="E140" s="150" t="s">
        <v>819</v>
      </c>
      <c r="F140" s="150" t="s">
        <v>1207</v>
      </c>
      <c r="G140" s="150" t="s">
        <v>1375</v>
      </c>
      <c r="H140" s="150" t="s">
        <v>2389</v>
      </c>
      <c r="I140" s="150" t="s">
        <v>3875</v>
      </c>
      <c r="J140" s="150" t="s">
        <v>4605</v>
      </c>
      <c r="K140" s="150" t="s">
        <v>5041</v>
      </c>
      <c r="Q140" s="401" t="s">
        <v>2853</v>
      </c>
    </row>
    <row r="141" spans="1:17" x14ac:dyDescent="0.35">
      <c r="A141" s="205">
        <f t="shared" si="5"/>
        <v>138</v>
      </c>
      <c r="B141" s="207"/>
      <c r="C141" s="205">
        <f t="shared" si="7"/>
        <v>138</v>
      </c>
      <c r="D141" s="150"/>
      <c r="E141" s="150"/>
      <c r="F141" s="150"/>
      <c r="G141" s="150"/>
      <c r="H141" s="150"/>
      <c r="I141" s="150"/>
      <c r="J141" s="150"/>
      <c r="K141" s="150"/>
      <c r="Q141" s="401" t="s">
        <v>2853</v>
      </c>
    </row>
    <row r="142" spans="1:17" x14ac:dyDescent="0.35">
      <c r="A142" s="205">
        <f t="shared" si="5"/>
        <v>139</v>
      </c>
      <c r="B142" s="207" t="str">
        <f>IF(ISBLANK(VLOOKUP(A142,$C$4:$V$9680,1+$A$1)),D142,VLOOKUP(A142,$C$4:$V$9680,1+$A$1))</f>
        <v>Kein Handlauf</v>
      </c>
      <c r="C142" s="205">
        <f t="shared" si="7"/>
        <v>139</v>
      </c>
      <c r="D142" s="150" t="s">
        <v>259</v>
      </c>
      <c r="E142" s="150" t="s">
        <v>820</v>
      </c>
      <c r="F142" s="150" t="s">
        <v>1208</v>
      </c>
      <c r="G142" s="150" t="s">
        <v>1376</v>
      </c>
      <c r="H142" s="150" t="s">
        <v>2390</v>
      </c>
      <c r="I142" s="150" t="s">
        <v>3876</v>
      </c>
      <c r="J142" s="150" t="s">
        <v>4606</v>
      </c>
      <c r="K142" s="150" t="s">
        <v>5042</v>
      </c>
      <c r="Q142" s="401" t="s">
        <v>2853</v>
      </c>
    </row>
    <row r="143" spans="1:17" ht="26" x14ac:dyDescent="0.35">
      <c r="A143" s="205">
        <f t="shared" si="5"/>
        <v>140</v>
      </c>
      <c r="B143" s="207" t="str">
        <f>IF(ISBLANK(VLOOKUP(A143,$C$4:$V$9680,1+$A$1)),D143,VLOOKUP(A143,$C$4:$V$9680,1+$A$1))</f>
        <v>Eine Seite</v>
      </c>
      <c r="C143" s="205">
        <f t="shared" si="7"/>
        <v>140</v>
      </c>
      <c r="D143" s="150" t="s">
        <v>260</v>
      </c>
      <c r="E143" s="150" t="s">
        <v>1804</v>
      </c>
      <c r="F143" s="150" t="s">
        <v>1209</v>
      </c>
      <c r="G143" s="150" t="s">
        <v>1377</v>
      </c>
      <c r="H143" s="150" t="s">
        <v>2391</v>
      </c>
      <c r="I143" s="150" t="s">
        <v>3877</v>
      </c>
      <c r="J143" s="150" t="s">
        <v>4607</v>
      </c>
      <c r="K143" s="150" t="s">
        <v>5043</v>
      </c>
      <c r="Q143" s="401" t="s">
        <v>2853</v>
      </c>
    </row>
    <row r="144" spans="1:17" ht="26" x14ac:dyDescent="0.35">
      <c r="A144" s="205">
        <f t="shared" si="5"/>
        <v>141</v>
      </c>
      <c r="B144" s="207" t="str">
        <f>IF(ISBLANK(VLOOKUP(A144,$C$4:$V$9680,1+$A$1)),D144,VLOOKUP(A144,$C$4:$V$9680,1+$A$1))</f>
        <v>Zwei Seiten</v>
      </c>
      <c r="C144" s="205">
        <f t="shared" si="7"/>
        <v>141</v>
      </c>
      <c r="D144" s="150" t="s">
        <v>261</v>
      </c>
      <c r="E144" s="150" t="s">
        <v>821</v>
      </c>
      <c r="F144" s="150" t="s">
        <v>1210</v>
      </c>
      <c r="G144" s="150" t="s">
        <v>1378</v>
      </c>
      <c r="H144" s="150" t="s">
        <v>2392</v>
      </c>
      <c r="I144" s="150" t="s">
        <v>3878</v>
      </c>
      <c r="J144" s="150" t="s">
        <v>4608</v>
      </c>
      <c r="K144" s="150" t="s">
        <v>5044</v>
      </c>
      <c r="Q144" s="401" t="s">
        <v>2853</v>
      </c>
    </row>
    <row r="145" spans="1:17" x14ac:dyDescent="0.35">
      <c r="A145" s="205">
        <f t="shared" si="5"/>
        <v>142</v>
      </c>
      <c r="B145" s="207"/>
      <c r="C145" s="205">
        <f t="shared" si="7"/>
        <v>142</v>
      </c>
      <c r="D145" s="150"/>
      <c r="E145" s="150"/>
      <c r="F145" s="150"/>
      <c r="G145" s="150"/>
      <c r="H145" s="150"/>
      <c r="I145" s="150"/>
      <c r="J145" s="150"/>
      <c r="K145" s="150"/>
      <c r="Q145" s="401" t="s">
        <v>2853</v>
      </c>
    </row>
    <row r="146" spans="1:17" x14ac:dyDescent="0.35">
      <c r="A146" s="205">
        <f t="shared" si="5"/>
        <v>143</v>
      </c>
      <c r="B146" s="207" t="str">
        <f>IF(ISBLANK(VLOOKUP(A146,$C$4:$V$9680,1+$A$1)),D146,VLOOKUP(A146,$C$4:$V$9680,1+$A$1))</f>
        <v>Fenster/vergittert</v>
      </c>
      <c r="C146" s="205">
        <f t="shared" si="7"/>
        <v>143</v>
      </c>
      <c r="D146" s="150" t="s">
        <v>263</v>
      </c>
      <c r="E146" s="150" t="s">
        <v>822</v>
      </c>
      <c r="F146" s="150" t="s">
        <v>1211</v>
      </c>
      <c r="G146" s="150" t="s">
        <v>1379</v>
      </c>
      <c r="H146" s="150" t="s">
        <v>2393</v>
      </c>
      <c r="I146" s="150" t="s">
        <v>3879</v>
      </c>
      <c r="J146" s="150" t="s">
        <v>4609</v>
      </c>
      <c r="K146" s="150" t="s">
        <v>5045</v>
      </c>
      <c r="Q146" s="401" t="s">
        <v>2853</v>
      </c>
    </row>
    <row r="147" spans="1:17" x14ac:dyDescent="0.35">
      <c r="A147" s="205">
        <f t="shared" si="5"/>
        <v>144</v>
      </c>
      <c r="B147" s="207" t="str">
        <f>IF(ISBLANK(VLOOKUP(A147,$C$4:$V$9680,1+$A$1)),D147,VLOOKUP(A147,$C$4:$V$9680,1+$A$1))</f>
        <v>Nichts</v>
      </c>
      <c r="C147" s="205">
        <f t="shared" si="7"/>
        <v>144</v>
      </c>
      <c r="D147" s="150" t="s">
        <v>262</v>
      </c>
      <c r="E147" s="150" t="s">
        <v>823</v>
      </c>
      <c r="F147" s="150" t="s">
        <v>1212</v>
      </c>
      <c r="G147" s="150" t="s">
        <v>1380</v>
      </c>
      <c r="H147" s="150" t="s">
        <v>2394</v>
      </c>
      <c r="I147" s="150" t="s">
        <v>3880</v>
      </c>
      <c r="J147" s="150" t="s">
        <v>4610</v>
      </c>
      <c r="K147" s="150" t="s">
        <v>5046</v>
      </c>
      <c r="Q147" s="401" t="s">
        <v>2853</v>
      </c>
    </row>
    <row r="148" spans="1:17" x14ac:dyDescent="0.35">
      <c r="A148" s="205">
        <f t="shared" si="5"/>
        <v>145</v>
      </c>
      <c r="B148" s="207"/>
      <c r="C148" s="205">
        <f t="shared" si="7"/>
        <v>145</v>
      </c>
      <c r="D148" s="150"/>
      <c r="E148" s="150"/>
      <c r="F148" s="150"/>
      <c r="G148" s="150"/>
      <c r="H148" s="150"/>
      <c r="I148" s="150"/>
      <c r="J148" s="150"/>
      <c r="K148" s="150"/>
      <c r="Q148" s="401" t="s">
        <v>2853</v>
      </c>
    </row>
    <row r="149" spans="1:17" x14ac:dyDescent="0.35">
      <c r="A149" s="205">
        <f t="shared" si="5"/>
        <v>146</v>
      </c>
      <c r="B149" s="207" t="str">
        <f>IF(ISBLANK(VLOOKUP(A149,$C$4:$V$9680,1+$A$1)),D149,VLOOKUP(A149,$C$4:$V$9680,1+$A$1))</f>
        <v>24*7</v>
      </c>
      <c r="C149" s="205">
        <f t="shared" si="7"/>
        <v>146</v>
      </c>
      <c r="D149" s="150" t="s">
        <v>295</v>
      </c>
      <c r="E149" s="150" t="s">
        <v>824</v>
      </c>
      <c r="F149" s="150" t="s">
        <v>1213</v>
      </c>
      <c r="G149" s="150" t="s">
        <v>295</v>
      </c>
      <c r="H149" s="150" t="s">
        <v>295</v>
      </c>
      <c r="I149" s="150" t="s">
        <v>3881</v>
      </c>
      <c r="J149" s="150" t="s">
        <v>295</v>
      </c>
      <c r="K149" s="150" t="s">
        <v>295</v>
      </c>
      <c r="Q149" s="401" t="s">
        <v>2853</v>
      </c>
    </row>
    <row r="150" spans="1:17" ht="39" x14ac:dyDescent="0.35">
      <c r="A150" s="205">
        <f t="shared" si="5"/>
        <v>147</v>
      </c>
      <c r="B150" s="207" t="str">
        <f>IF(ISBLANK(VLOOKUP(A150,$C$4:$V$9680,1+$A$1)),D150,VLOOKUP(A150,$C$4:$V$9680,1+$A$1))</f>
        <v>Gesamte Öffnungszeit, wenn nicht 24*7</v>
      </c>
      <c r="C150" s="205">
        <f t="shared" si="7"/>
        <v>147</v>
      </c>
      <c r="D150" s="150" t="s">
        <v>296</v>
      </c>
      <c r="E150" s="150" t="s">
        <v>825</v>
      </c>
      <c r="F150" s="150" t="s">
        <v>1214</v>
      </c>
      <c r="G150" s="150" t="s">
        <v>5334</v>
      </c>
      <c r="H150" s="150" t="s">
        <v>2395</v>
      </c>
      <c r="I150" s="150" t="s">
        <v>3882</v>
      </c>
      <c r="J150" s="150" t="s">
        <v>4611</v>
      </c>
      <c r="K150" s="150" t="s">
        <v>5047</v>
      </c>
      <c r="Q150" s="401" t="s">
        <v>2853</v>
      </c>
    </row>
    <row r="151" spans="1:17" ht="26" x14ac:dyDescent="0.35">
      <c r="A151" s="205">
        <f t="shared" si="5"/>
        <v>148</v>
      </c>
      <c r="B151" s="207" t="str">
        <f>IF(ISBLANK(VLOOKUP(A151,$C$4:$V$9680,1+$A$1)),D151,VLOOKUP(A151,$C$4:$V$9680,1+$A$1))</f>
        <v>Teilweise/nicht verfügbar</v>
      </c>
      <c r="C151" s="205">
        <f t="shared" si="7"/>
        <v>148</v>
      </c>
      <c r="D151" s="150" t="s">
        <v>294</v>
      </c>
      <c r="E151" s="150" t="s">
        <v>826</v>
      </c>
      <c r="F151" s="150" t="s">
        <v>1215</v>
      </c>
      <c r="G151" s="150" t="s">
        <v>1382</v>
      </c>
      <c r="H151" s="150" t="s">
        <v>2396</v>
      </c>
      <c r="I151" s="150" t="s">
        <v>3883</v>
      </c>
      <c r="J151" s="150" t="s">
        <v>4612</v>
      </c>
      <c r="K151" s="150" t="s">
        <v>5048</v>
      </c>
      <c r="Q151" s="401" t="s">
        <v>2853</v>
      </c>
    </row>
    <row r="152" spans="1:17" x14ac:dyDescent="0.35">
      <c r="A152" s="205">
        <f t="shared" si="5"/>
        <v>149</v>
      </c>
      <c r="B152" s="207"/>
      <c r="C152" s="205">
        <f t="shared" si="7"/>
        <v>149</v>
      </c>
      <c r="D152" s="150"/>
      <c r="E152" s="150"/>
      <c r="F152" s="150"/>
      <c r="G152" s="150"/>
      <c r="H152" s="150"/>
      <c r="I152" s="150"/>
      <c r="J152" s="150"/>
      <c r="K152" s="150"/>
      <c r="Q152" s="401" t="s">
        <v>2853</v>
      </c>
    </row>
    <row r="153" spans="1:17" x14ac:dyDescent="0.35">
      <c r="A153" s="205">
        <f t="shared" si="5"/>
        <v>150</v>
      </c>
      <c r="B153" s="207" t="str">
        <f>IF(ISBLANK(VLOOKUP(A153,$C$4:$V$9680,1+$A$1)),D153,VLOOKUP(A153,$C$4:$V$9680,1+$A$1))</f>
        <v>24*7</v>
      </c>
      <c r="C153" s="205">
        <f t="shared" si="7"/>
        <v>150</v>
      </c>
      <c r="D153" s="150" t="s">
        <v>295</v>
      </c>
      <c r="E153" s="150" t="s">
        <v>824</v>
      </c>
      <c r="F153" s="150" t="s">
        <v>1213</v>
      </c>
      <c r="G153" s="150" t="s">
        <v>295</v>
      </c>
      <c r="H153" s="150" t="s">
        <v>295</v>
      </c>
      <c r="I153" s="150" t="s">
        <v>3881</v>
      </c>
      <c r="J153" s="150" t="s">
        <v>295</v>
      </c>
      <c r="K153" s="150" t="s">
        <v>295</v>
      </c>
      <c r="Q153" s="401" t="s">
        <v>2853</v>
      </c>
    </row>
    <row r="154" spans="1:17" ht="26" x14ac:dyDescent="0.35">
      <c r="A154" s="205">
        <f t="shared" si="5"/>
        <v>151</v>
      </c>
      <c r="B154" s="207" t="str">
        <f>IF(ISBLANK(VLOOKUP(A154,$C$4:$V$9680,1+$A$1)),D154,VLOOKUP(A154,$C$4:$V$9680,1+$A$1))</f>
        <v>Während der Öffnungszeiten</v>
      </c>
      <c r="C154" s="205">
        <f t="shared" si="7"/>
        <v>151</v>
      </c>
      <c r="D154" s="150" t="s">
        <v>298</v>
      </c>
      <c r="E154" s="150" t="s">
        <v>827</v>
      </c>
      <c r="F154" s="150" t="s">
        <v>1216</v>
      </c>
      <c r="G154" s="150" t="s">
        <v>1383</v>
      </c>
      <c r="H154" s="150" t="s">
        <v>2397</v>
      </c>
      <c r="I154" s="150" t="s">
        <v>3884</v>
      </c>
      <c r="J154" s="150" t="s">
        <v>4613</v>
      </c>
      <c r="K154" s="150" t="s">
        <v>5049</v>
      </c>
      <c r="Q154" s="401" t="s">
        <v>2853</v>
      </c>
    </row>
    <row r="155" spans="1:17" ht="26" x14ac:dyDescent="0.35">
      <c r="A155" s="205">
        <f t="shared" si="5"/>
        <v>152</v>
      </c>
      <c r="B155" s="207" t="str">
        <f>IF(ISBLANK(VLOOKUP(A155,$C$4:$V$9680,1+$A$1)),D155,VLOOKUP(A155,$C$4:$V$9680,1+$A$1))</f>
        <v>Weniger als die Öffnungszeiten</v>
      </c>
      <c r="C155" s="205">
        <f t="shared" si="7"/>
        <v>152</v>
      </c>
      <c r="D155" s="150" t="s">
        <v>297</v>
      </c>
      <c r="E155" s="150" t="s">
        <v>828</v>
      </c>
      <c r="F155" s="150" t="s">
        <v>1217</v>
      </c>
      <c r="G155" s="150" t="s">
        <v>1384</v>
      </c>
      <c r="H155" s="150" t="s">
        <v>2398</v>
      </c>
      <c r="I155" s="150" t="s">
        <v>3885</v>
      </c>
      <c r="J155" s="150" t="s">
        <v>4614</v>
      </c>
      <c r="K155" s="150" t="s">
        <v>5050</v>
      </c>
      <c r="Q155" s="401" t="s">
        <v>2853</v>
      </c>
    </row>
    <row r="156" spans="1:17" x14ac:dyDescent="0.35">
      <c r="A156" s="205">
        <f t="shared" si="5"/>
        <v>153</v>
      </c>
      <c r="B156" s="207" t="str">
        <f>IF(ISBLANK(VLOOKUP(A156,$C$4:$V$9680,1+$A$1)),D156,VLOOKUP(A156,$C$4:$V$9680,1+$A$1))</f>
        <v>Nein</v>
      </c>
      <c r="C156" s="205">
        <f t="shared" si="7"/>
        <v>153</v>
      </c>
      <c r="D156" s="150" t="s">
        <v>131</v>
      </c>
      <c r="E156" s="150" t="s">
        <v>829</v>
      </c>
      <c r="F156" s="150"/>
      <c r="G156" s="150" t="s">
        <v>1338</v>
      </c>
      <c r="H156" s="150" t="s">
        <v>2354</v>
      </c>
      <c r="I156" s="150" t="s">
        <v>3808</v>
      </c>
      <c r="J156" s="150" t="s">
        <v>4554</v>
      </c>
      <c r="K156" s="150" t="s">
        <v>131</v>
      </c>
      <c r="Q156" s="401" t="s">
        <v>2853</v>
      </c>
    </row>
    <row r="157" spans="1:17" x14ac:dyDescent="0.35">
      <c r="A157" s="205">
        <f t="shared" si="5"/>
        <v>154</v>
      </c>
      <c r="B157" s="207"/>
      <c r="C157" s="205">
        <f t="shared" si="7"/>
        <v>154</v>
      </c>
      <c r="D157" s="150"/>
      <c r="E157" s="150"/>
      <c r="F157" s="150"/>
      <c r="G157" s="150"/>
      <c r="H157" s="150"/>
      <c r="I157" s="150"/>
      <c r="J157" s="150"/>
      <c r="K157" s="150"/>
      <c r="Q157" s="401" t="s">
        <v>2853</v>
      </c>
    </row>
    <row r="158" spans="1:17" ht="52" x14ac:dyDescent="0.35">
      <c r="A158" s="205">
        <f t="shared" si="5"/>
        <v>155</v>
      </c>
      <c r="B158" s="207" t="str">
        <f>IF(ISBLANK(VLOOKUP(A158,$C$4:$V$9680,1+$A$1)),D158,VLOOKUP(A158,$C$4:$V$9680,1+$A$1))</f>
        <v>Geschlossenes Tor/Rollgitter außerhalb der Öffnungszeit</v>
      </c>
      <c r="C158" s="205">
        <f t="shared" si="7"/>
        <v>155</v>
      </c>
      <c r="D158" s="150" t="s">
        <v>300</v>
      </c>
      <c r="E158" s="150" t="s">
        <v>830</v>
      </c>
      <c r="F158" s="150" t="s">
        <v>1218</v>
      </c>
      <c r="G158" s="150" t="s">
        <v>1385</v>
      </c>
      <c r="H158" s="150" t="s">
        <v>2399</v>
      </c>
      <c r="I158" s="150" t="s">
        <v>3886</v>
      </c>
      <c r="J158" s="150" t="s">
        <v>4615</v>
      </c>
      <c r="K158" s="150" t="s">
        <v>5051</v>
      </c>
      <c r="Q158" s="401" t="s">
        <v>2853</v>
      </c>
    </row>
    <row r="159" spans="1:17" ht="39" x14ac:dyDescent="0.35">
      <c r="A159" s="205">
        <f t="shared" si="5"/>
        <v>156</v>
      </c>
      <c r="B159" s="207" t="str">
        <f>IF(ISBLANK(VLOOKUP(A159,$C$4:$V$9680,1+$A$1)),D159,VLOOKUP(A159,$C$4:$V$9680,1+$A$1))</f>
        <v>Gesichert: Schnelllauftor tagsüber</v>
      </c>
      <c r="C159" s="205">
        <f t="shared" si="7"/>
        <v>156</v>
      </c>
      <c r="D159" s="150" t="s">
        <v>301</v>
      </c>
      <c r="E159" s="150" t="s">
        <v>831</v>
      </c>
      <c r="F159" s="150" t="s">
        <v>1219</v>
      </c>
      <c r="G159" s="150" t="s">
        <v>1386</v>
      </c>
      <c r="H159" s="150" t="s">
        <v>2400</v>
      </c>
      <c r="I159" s="150" t="s">
        <v>3887</v>
      </c>
      <c r="J159" s="150" t="s">
        <v>4616</v>
      </c>
      <c r="K159" s="150" t="s">
        <v>5052</v>
      </c>
      <c r="Q159" s="401" t="s">
        <v>2853</v>
      </c>
    </row>
    <row r="160" spans="1:17" ht="39" x14ac:dyDescent="0.35">
      <c r="A160" s="205">
        <f t="shared" si="5"/>
        <v>157</v>
      </c>
      <c r="B160" s="207" t="str">
        <f>IF(ISBLANK(VLOOKUP(A160,$C$4:$V$9680,1+$A$1)),D160,VLOOKUP(A160,$C$4:$V$9680,1+$A$1))</f>
        <v>Gesichert: langsam öffnendes Tor tagsüber</v>
      </c>
      <c r="C160" s="205">
        <f t="shared" si="7"/>
        <v>157</v>
      </c>
      <c r="D160" s="150" t="s">
        <v>303</v>
      </c>
      <c r="E160" s="150" t="s">
        <v>832</v>
      </c>
      <c r="F160" s="150" t="s">
        <v>1220</v>
      </c>
      <c r="G160" s="150" t="s">
        <v>1387</v>
      </c>
      <c r="H160" s="150" t="s">
        <v>2401</v>
      </c>
      <c r="I160" s="150" t="s">
        <v>3888</v>
      </c>
      <c r="J160" s="150" t="s">
        <v>4617</v>
      </c>
      <c r="K160" s="150" t="s">
        <v>5053</v>
      </c>
      <c r="Q160" s="401" t="s">
        <v>2853</v>
      </c>
    </row>
    <row r="161" spans="1:17" ht="26" x14ac:dyDescent="0.35">
      <c r="A161" s="205">
        <f t="shared" si="5"/>
        <v>158</v>
      </c>
      <c r="B161" s="207" t="str">
        <f>IF(ISBLANK(VLOOKUP(A161,$C$4:$V$9680,1+$A$1)),D161,VLOOKUP(A161,$C$4:$V$9680,1+$A$1))</f>
        <v>Keine Sicherung</v>
      </c>
      <c r="C161" s="205">
        <f t="shared" si="7"/>
        <v>158</v>
      </c>
      <c r="D161" s="150" t="s">
        <v>302</v>
      </c>
      <c r="E161" s="150" t="s">
        <v>833</v>
      </c>
      <c r="F161" s="150" t="s">
        <v>1221</v>
      </c>
      <c r="G161" s="150" t="s">
        <v>1388</v>
      </c>
      <c r="H161" s="150" t="s">
        <v>2402</v>
      </c>
      <c r="I161" s="150" t="s">
        <v>3889</v>
      </c>
      <c r="J161" s="150" t="s">
        <v>4618</v>
      </c>
      <c r="K161" s="150" t="s">
        <v>5054</v>
      </c>
      <c r="Q161" s="401" t="s">
        <v>2853</v>
      </c>
    </row>
    <row r="162" spans="1:17" x14ac:dyDescent="0.35">
      <c r="A162" s="205">
        <f t="shared" si="5"/>
        <v>159</v>
      </c>
      <c r="B162" s="207"/>
      <c r="C162" s="205">
        <f t="shared" si="7"/>
        <v>159</v>
      </c>
      <c r="D162" s="151"/>
      <c r="E162" s="151"/>
      <c r="F162" s="150"/>
      <c r="G162" s="150"/>
      <c r="H162" s="150"/>
      <c r="I162" s="150"/>
      <c r="J162" s="150"/>
      <c r="K162" s="150"/>
      <c r="Q162" s="401" t="s">
        <v>2853</v>
      </c>
    </row>
    <row r="163" spans="1:17" ht="39" x14ac:dyDescent="0.35">
      <c r="A163" s="205">
        <f t="shared" si="5"/>
        <v>160</v>
      </c>
      <c r="B163" s="207" t="str">
        <f>IF(ISBLANK(VLOOKUP(A163,$C$4:$V$9680,1+$A$1)),D163,VLOOKUP(A163,$C$4:$V$9680,1+$A$1))</f>
        <v>Größte Öffnung in Tür/Tor/Rollgitter &lt;= 15 cm</v>
      </c>
      <c r="C163" s="205">
        <f t="shared" si="7"/>
        <v>160</v>
      </c>
      <c r="D163" s="150" t="s">
        <v>307</v>
      </c>
      <c r="E163" s="150" t="s">
        <v>834</v>
      </c>
      <c r="F163" s="150" t="s">
        <v>1222</v>
      </c>
      <c r="G163" s="150" t="s">
        <v>5335</v>
      </c>
      <c r="H163" s="150" t="s">
        <v>2403</v>
      </c>
      <c r="I163" s="150" t="s">
        <v>3890</v>
      </c>
      <c r="J163" s="150" t="s">
        <v>4619</v>
      </c>
      <c r="K163" s="150" t="s">
        <v>5055</v>
      </c>
      <c r="Q163" s="401" t="s">
        <v>2853</v>
      </c>
    </row>
    <row r="164" spans="1:17" ht="39" x14ac:dyDescent="0.35">
      <c r="A164" s="205">
        <f t="shared" si="5"/>
        <v>161</v>
      </c>
      <c r="B164" s="207" t="str">
        <f>IF(ISBLANK(VLOOKUP(A164,$C$4:$V$9680,1+$A$1)),D164,VLOOKUP(A164,$C$4:$V$9680,1+$A$1))</f>
        <v>Größte Öffnung in Tür/Tor/Rollgitter &gt; 15cm</v>
      </c>
      <c r="C164" s="205">
        <f t="shared" si="7"/>
        <v>161</v>
      </c>
      <c r="D164" s="150" t="s">
        <v>308</v>
      </c>
      <c r="E164" s="150" t="s">
        <v>835</v>
      </c>
      <c r="F164" s="150" t="s">
        <v>1223</v>
      </c>
      <c r="G164" s="150" t="s">
        <v>1390</v>
      </c>
      <c r="H164" s="150" t="s">
        <v>2404</v>
      </c>
      <c r="I164" s="150" t="s">
        <v>3891</v>
      </c>
      <c r="J164" s="150" t="s">
        <v>4620</v>
      </c>
      <c r="K164" s="150" t="s">
        <v>5056</v>
      </c>
      <c r="Q164" s="401" t="s">
        <v>2853</v>
      </c>
    </row>
    <row r="165" spans="1:17" ht="26" x14ac:dyDescent="0.35">
      <c r="A165" s="205">
        <f t="shared" si="5"/>
        <v>162</v>
      </c>
      <c r="B165" s="207" t="str">
        <f>IF(ISBLANK(VLOOKUP(A165,$C$4:$V$9680,1+$A$1)),D165,VLOOKUP(A165,$C$4:$V$9680,1+$A$1))</f>
        <v>Keine Öffnung</v>
      </c>
      <c r="C165" s="205">
        <f t="shared" si="7"/>
        <v>162</v>
      </c>
      <c r="D165" s="150" t="s">
        <v>305</v>
      </c>
      <c r="E165" s="150" t="s">
        <v>836</v>
      </c>
      <c r="F165" s="150" t="s">
        <v>1224</v>
      </c>
      <c r="G165" s="150" t="s">
        <v>1391</v>
      </c>
      <c r="H165" s="150" t="s">
        <v>2405</v>
      </c>
      <c r="I165" s="150" t="s">
        <v>3892</v>
      </c>
      <c r="J165" s="150" t="s">
        <v>4621</v>
      </c>
      <c r="K165" s="150" t="s">
        <v>5057</v>
      </c>
      <c r="Q165" s="401" t="s">
        <v>2853</v>
      </c>
    </row>
    <row r="166" spans="1:17" ht="26" x14ac:dyDescent="0.35">
      <c r="A166" s="205">
        <f t="shared" si="5"/>
        <v>163</v>
      </c>
      <c r="B166" s="207" t="str">
        <f>IF(ISBLANK(VLOOKUP(A166,$C$4:$V$9680,1+$A$1)),D166,VLOOKUP(A166,$C$4:$V$9680,1+$A$1))</f>
        <v>Unzutreffend (24 Stunden geöffnet)</v>
      </c>
      <c r="C166" s="205">
        <f t="shared" si="7"/>
        <v>163</v>
      </c>
      <c r="D166" s="150" t="s">
        <v>306</v>
      </c>
      <c r="E166" s="150" t="s">
        <v>837</v>
      </c>
      <c r="F166" s="150" t="s">
        <v>1225</v>
      </c>
      <c r="G166" s="150" t="s">
        <v>1392</v>
      </c>
      <c r="H166" s="150" t="s">
        <v>3417</v>
      </c>
      <c r="I166" s="150" t="s">
        <v>3893</v>
      </c>
      <c r="J166" s="150" t="s">
        <v>4622</v>
      </c>
      <c r="K166" s="150" t="s">
        <v>5058</v>
      </c>
      <c r="Q166" s="401" t="s">
        <v>2853</v>
      </c>
    </row>
    <row r="167" spans="1:17" x14ac:dyDescent="0.35">
      <c r="A167" s="205">
        <f t="shared" si="5"/>
        <v>164</v>
      </c>
      <c r="B167" s="207"/>
      <c r="C167" s="205">
        <f t="shared" si="7"/>
        <v>164</v>
      </c>
      <c r="D167" s="152"/>
      <c r="E167" s="152"/>
      <c r="F167" s="150"/>
      <c r="G167" s="150"/>
      <c r="H167" s="150"/>
      <c r="I167" s="150"/>
      <c r="J167" s="150"/>
      <c r="K167" s="150"/>
      <c r="Q167" s="401" t="s">
        <v>2853</v>
      </c>
    </row>
    <row r="168" spans="1:17" ht="26" x14ac:dyDescent="0.35">
      <c r="A168" s="205">
        <f t="shared" si="5"/>
        <v>165</v>
      </c>
      <c r="B168" s="207" t="str">
        <f>IF(ISBLANK(VLOOKUP(A168,$C$4:$V$9680,1+$A$1)),D168,VLOOKUP(A168,$C$4:$V$9680,1+$A$1))</f>
        <v>kleiner oder gleich 15 cm</v>
      </c>
      <c r="C168" s="205">
        <f t="shared" si="7"/>
        <v>165</v>
      </c>
      <c r="D168" s="150" t="s">
        <v>2884</v>
      </c>
      <c r="E168" s="150" t="s">
        <v>4131</v>
      </c>
      <c r="F168" s="150" t="s">
        <v>4101</v>
      </c>
      <c r="G168" s="150" t="s">
        <v>4173</v>
      </c>
      <c r="H168" s="150" t="s">
        <v>3418</v>
      </c>
      <c r="I168" s="150" t="s">
        <v>3894</v>
      </c>
      <c r="J168" s="150" t="s">
        <v>4623</v>
      </c>
      <c r="K168" s="150" t="s">
        <v>5059</v>
      </c>
      <c r="Q168" s="401" t="s">
        <v>2853</v>
      </c>
    </row>
    <row r="169" spans="1:17" ht="26" x14ac:dyDescent="0.35">
      <c r="A169" s="205">
        <f t="shared" ref="A169:A258" si="8">C169</f>
        <v>166</v>
      </c>
      <c r="B169" s="207" t="str">
        <f>IF(ISBLANK(VLOOKUP(A169,$C$4:$V$9680,1+$A$1)),D169,VLOOKUP(A169,$C$4:$V$9680,1+$A$1))</f>
        <v>größer als 15 cm oder kein Sicherung</v>
      </c>
      <c r="C169" s="205">
        <f t="shared" si="7"/>
        <v>166</v>
      </c>
      <c r="D169" s="150" t="s">
        <v>2885</v>
      </c>
      <c r="E169" s="150" t="s">
        <v>4132</v>
      </c>
      <c r="F169" s="150" t="s">
        <v>4102</v>
      </c>
      <c r="G169" s="150" t="s">
        <v>4174</v>
      </c>
      <c r="H169" s="150" t="s">
        <v>3419</v>
      </c>
      <c r="I169" s="150" t="s">
        <v>3895</v>
      </c>
      <c r="J169" s="150" t="s">
        <v>4624</v>
      </c>
      <c r="K169" s="150" t="s">
        <v>5060</v>
      </c>
      <c r="Q169" s="401" t="s">
        <v>2853</v>
      </c>
    </row>
    <row r="170" spans="1:17" ht="39" x14ac:dyDescent="0.35">
      <c r="A170" s="205">
        <f t="shared" si="8"/>
        <v>167</v>
      </c>
      <c r="B170" s="207" t="str">
        <f>IF(ISBLANK(VLOOKUP(A170,$C$4:$V$9680,1+$A$1)),D170,VLOOKUP(A170,$C$4:$V$9680,1+$A$1))</f>
        <v>Unzutreffend (keine Öffnungen nach außen)</v>
      </c>
      <c r="C170" s="205">
        <f t="shared" ref="C170:C257" si="9">+C169+1</f>
        <v>167</v>
      </c>
      <c r="D170" s="150" t="s">
        <v>312</v>
      </c>
      <c r="E170" s="150" t="s">
        <v>838</v>
      </c>
      <c r="F170" s="150" t="s">
        <v>1226</v>
      </c>
      <c r="G170" s="150" t="s">
        <v>1394</v>
      </c>
      <c r="H170" s="150" t="s">
        <v>2406</v>
      </c>
      <c r="I170" s="150" t="s">
        <v>3896</v>
      </c>
      <c r="J170" s="150" t="s">
        <v>4625</v>
      </c>
      <c r="K170" s="150" t="s">
        <v>5061</v>
      </c>
      <c r="Q170" s="401" t="s">
        <v>2853</v>
      </c>
    </row>
    <row r="171" spans="1:17" x14ac:dyDescent="0.35">
      <c r="A171" s="205">
        <f t="shared" si="8"/>
        <v>168</v>
      </c>
      <c r="B171" s="207"/>
      <c r="C171" s="205">
        <f t="shared" si="9"/>
        <v>168</v>
      </c>
      <c r="D171" s="150"/>
      <c r="E171" s="150"/>
      <c r="F171" s="150"/>
      <c r="G171" s="150"/>
      <c r="H171" s="150"/>
      <c r="I171" s="150"/>
      <c r="J171" s="150"/>
      <c r="K171" s="150"/>
      <c r="Q171" s="401" t="s">
        <v>2853</v>
      </c>
    </row>
    <row r="172" spans="1:17" x14ac:dyDescent="0.35">
      <c r="A172" s="205">
        <f t="shared" si="8"/>
        <v>169</v>
      </c>
      <c r="B172" s="207" t="str">
        <f>IF(ISBLANK(VLOOKUP(A172,$C$4:$V$9680,1+$A$1)),D172,VLOOKUP(A172,$C$4:$V$9680,1+$A$1))</f>
        <v>Ja/gut</v>
      </c>
      <c r="C172" s="205">
        <f t="shared" si="9"/>
        <v>169</v>
      </c>
      <c r="D172" s="150" t="s">
        <v>318</v>
      </c>
      <c r="E172" s="150" t="s">
        <v>839</v>
      </c>
      <c r="F172" s="150" t="s">
        <v>1227</v>
      </c>
      <c r="G172" s="150" t="s">
        <v>1395</v>
      </c>
      <c r="H172" s="150" t="s">
        <v>2407</v>
      </c>
      <c r="I172" s="150" t="s">
        <v>3897</v>
      </c>
      <c r="J172" s="150" t="s">
        <v>4626</v>
      </c>
      <c r="K172" s="150" t="s">
        <v>5062</v>
      </c>
      <c r="Q172" s="401" t="s">
        <v>2853</v>
      </c>
    </row>
    <row r="173" spans="1:17" x14ac:dyDescent="0.35">
      <c r="A173" s="205">
        <f t="shared" si="8"/>
        <v>170</v>
      </c>
      <c r="B173" s="207" t="str">
        <f>IF(ISBLANK(VLOOKUP(A173,$C$4:$V$9680,1+$A$1)),D173,VLOOKUP(A173,$C$4:$V$9680,1+$A$1))</f>
        <v>Nein/schlecht</v>
      </c>
      <c r="C173" s="205">
        <f t="shared" si="9"/>
        <v>170</v>
      </c>
      <c r="D173" s="150" t="s">
        <v>317</v>
      </c>
      <c r="E173" s="150" t="s">
        <v>840</v>
      </c>
      <c r="F173" s="150" t="s">
        <v>1228</v>
      </c>
      <c r="G173" s="150" t="s">
        <v>1396</v>
      </c>
      <c r="H173" s="150" t="s">
        <v>2408</v>
      </c>
      <c r="I173" s="150" t="s">
        <v>3898</v>
      </c>
      <c r="J173" s="150" t="s">
        <v>4627</v>
      </c>
      <c r="K173" s="150" t="s">
        <v>5063</v>
      </c>
      <c r="Q173" s="401" t="s">
        <v>2853</v>
      </c>
    </row>
    <row r="174" spans="1:17" x14ac:dyDescent="0.35">
      <c r="A174" s="205">
        <f t="shared" si="8"/>
        <v>171</v>
      </c>
      <c r="B174" s="207"/>
      <c r="C174" s="205">
        <f t="shared" si="9"/>
        <v>171</v>
      </c>
      <c r="D174" s="150"/>
      <c r="E174" s="150"/>
      <c r="F174" s="150"/>
      <c r="G174" s="150"/>
      <c r="H174" s="150"/>
      <c r="I174" s="150"/>
      <c r="J174" s="150"/>
      <c r="K174" s="150"/>
      <c r="Q174" s="401" t="s">
        <v>2853</v>
      </c>
    </row>
    <row r="175" spans="1:17" x14ac:dyDescent="0.35">
      <c r="A175" s="205">
        <f t="shared" si="8"/>
        <v>172</v>
      </c>
      <c r="B175" s="207" t="str">
        <f>IF(ISBLANK(VLOOKUP(A175,$C$4:$V$9680,1+$A$1)),D175,VLOOKUP(A175,$C$4:$V$9680,1+$A$1))</f>
        <v>Gut</v>
      </c>
      <c r="C175" s="205">
        <f t="shared" si="9"/>
        <v>172</v>
      </c>
      <c r="D175" s="150" t="s">
        <v>149</v>
      </c>
      <c r="E175" s="150" t="s">
        <v>801</v>
      </c>
      <c r="F175" s="150" t="s">
        <v>1182</v>
      </c>
      <c r="G175" s="150" t="s">
        <v>1352</v>
      </c>
      <c r="H175" s="150" t="s">
        <v>2366</v>
      </c>
      <c r="I175" s="150" t="s">
        <v>3827</v>
      </c>
      <c r="J175" s="150" t="s">
        <v>4556</v>
      </c>
      <c r="K175" s="150" t="s">
        <v>4989</v>
      </c>
      <c r="Q175" s="401" t="s">
        <v>2853</v>
      </c>
    </row>
    <row r="176" spans="1:17" x14ac:dyDescent="0.35">
      <c r="A176" s="205">
        <f t="shared" si="8"/>
        <v>173</v>
      </c>
      <c r="B176" s="207" t="str">
        <f>IF(ISBLANK(VLOOKUP(A176,$C$4:$V$9680,1+$A$1)),D176,VLOOKUP(A176,$C$4:$V$9680,1+$A$1))</f>
        <v>Befriedigend</v>
      </c>
      <c r="C176" s="205">
        <f t="shared" si="9"/>
        <v>173</v>
      </c>
      <c r="D176" s="150" t="s">
        <v>319</v>
      </c>
      <c r="E176" s="150" t="s">
        <v>802</v>
      </c>
      <c r="F176" s="150" t="s">
        <v>1229</v>
      </c>
      <c r="G176" s="150" t="s">
        <v>1397</v>
      </c>
      <c r="H176" s="150" t="s">
        <v>2409</v>
      </c>
      <c r="I176" s="150" t="s">
        <v>3899</v>
      </c>
      <c r="J176" s="150" t="s">
        <v>4628</v>
      </c>
      <c r="K176" s="150" t="s">
        <v>5064</v>
      </c>
      <c r="Q176" s="401" t="s">
        <v>2853</v>
      </c>
    </row>
    <row r="177" spans="1:17" x14ac:dyDescent="0.35">
      <c r="A177" s="205">
        <f t="shared" si="8"/>
        <v>174</v>
      </c>
      <c r="B177" s="207" t="str">
        <f>IF(ISBLANK(VLOOKUP(A177,$C$4:$V$9680,1+$A$1)),D177,VLOOKUP(A177,$C$4:$V$9680,1+$A$1))</f>
        <v>Schlecht</v>
      </c>
      <c r="C177" s="205">
        <f t="shared" si="9"/>
        <v>174</v>
      </c>
      <c r="D177" s="150" t="s">
        <v>320</v>
      </c>
      <c r="E177" s="150" t="s">
        <v>803</v>
      </c>
      <c r="F177" s="150" t="s">
        <v>1230</v>
      </c>
      <c r="G177" s="150" t="s">
        <v>1354</v>
      </c>
      <c r="H177" s="150" t="s">
        <v>2410</v>
      </c>
      <c r="I177" s="150" t="s">
        <v>3900</v>
      </c>
      <c r="J177" s="150" t="s">
        <v>4629</v>
      </c>
      <c r="K177" s="150" t="s">
        <v>5065</v>
      </c>
      <c r="Q177" s="401" t="s">
        <v>2853</v>
      </c>
    </row>
    <row r="178" spans="1:17" x14ac:dyDescent="0.35">
      <c r="A178" s="205">
        <f t="shared" si="8"/>
        <v>175</v>
      </c>
      <c r="B178" s="207" t="str">
        <f>IF(ISBLANK(VLOOKUP(A178,$C$4:$V$9680,1+$A$1)),D178,VLOOKUP(A178,$C$4:$V$9680,1+$A$1))</f>
        <v>Nein</v>
      </c>
      <c r="C178" s="205">
        <f t="shared" si="9"/>
        <v>175</v>
      </c>
      <c r="D178" s="150" t="s">
        <v>131</v>
      </c>
      <c r="E178" s="150" t="s">
        <v>792</v>
      </c>
      <c r="F178" s="150" t="s">
        <v>1199</v>
      </c>
      <c r="G178" s="150" t="s">
        <v>1338</v>
      </c>
      <c r="H178" s="150" t="s">
        <v>2354</v>
      </c>
      <c r="I178" s="150" t="s">
        <v>3808</v>
      </c>
      <c r="J178" s="150" t="s">
        <v>4591</v>
      </c>
      <c r="K178" s="150" t="s">
        <v>131</v>
      </c>
      <c r="Q178" s="401" t="s">
        <v>2853</v>
      </c>
    </row>
    <row r="179" spans="1:17" x14ac:dyDescent="0.35">
      <c r="A179" s="205">
        <f t="shared" si="8"/>
        <v>176</v>
      </c>
      <c r="B179" s="207"/>
      <c r="C179" s="205">
        <f t="shared" si="9"/>
        <v>176</v>
      </c>
      <c r="D179" s="150"/>
      <c r="E179" s="150"/>
      <c r="F179" s="150"/>
      <c r="G179" s="150"/>
      <c r="H179" s="150"/>
      <c r="I179" s="150"/>
      <c r="J179" s="150"/>
      <c r="K179" s="150"/>
      <c r="Q179" s="401" t="s">
        <v>2853</v>
      </c>
    </row>
    <row r="180" spans="1:17" ht="26" x14ac:dyDescent="0.35">
      <c r="A180" s="205">
        <f t="shared" si="8"/>
        <v>177</v>
      </c>
      <c r="B180" s="207" t="str">
        <f>IF(ISBLANK(VLOOKUP(A180,$C$4:$V$9680,1+$A$1)),D180,VLOOKUP(A180,$C$4:$V$9680,1+$A$1))</f>
        <v>Deutlich von allen Standorten</v>
      </c>
      <c r="C180" s="205">
        <f t="shared" si="9"/>
        <v>177</v>
      </c>
      <c r="D180" s="150" t="s">
        <v>324</v>
      </c>
      <c r="E180" s="150" t="s">
        <v>841</v>
      </c>
      <c r="F180" s="150" t="s">
        <v>1231</v>
      </c>
      <c r="G180" s="150" t="s">
        <v>1398</v>
      </c>
      <c r="H180" s="150" t="s">
        <v>2411</v>
      </c>
      <c r="I180" s="150" t="s">
        <v>3901</v>
      </c>
      <c r="J180" s="150" t="s">
        <v>4630</v>
      </c>
      <c r="K180" s="150" t="s">
        <v>5066</v>
      </c>
      <c r="Q180" s="401" t="s">
        <v>2853</v>
      </c>
    </row>
    <row r="181" spans="1:17" ht="26" x14ac:dyDescent="0.35">
      <c r="A181" s="205">
        <f t="shared" si="8"/>
        <v>178</v>
      </c>
      <c r="B181" s="207" t="str">
        <f>IF(ISBLANK(VLOOKUP(A181,$C$4:$V$9680,1+$A$1)),D181,VLOOKUP(A181,$C$4:$V$9680,1+$A$1))</f>
        <v>Deutlich von den meisten Standorten</v>
      </c>
      <c r="C181" s="205">
        <f t="shared" si="9"/>
        <v>178</v>
      </c>
      <c r="D181" s="150" t="s">
        <v>325</v>
      </c>
      <c r="E181" s="150" t="s">
        <v>842</v>
      </c>
      <c r="F181" s="150" t="s">
        <v>1232</v>
      </c>
      <c r="G181" s="150" t="s">
        <v>1399</v>
      </c>
      <c r="H181" s="150" t="s">
        <v>2412</v>
      </c>
      <c r="I181" s="150" t="s">
        <v>3902</v>
      </c>
      <c r="J181" s="150" t="s">
        <v>4631</v>
      </c>
      <c r="K181" s="150" t="s">
        <v>5067</v>
      </c>
      <c r="Q181" s="401" t="s">
        <v>2853</v>
      </c>
    </row>
    <row r="182" spans="1:17" ht="26" x14ac:dyDescent="0.35">
      <c r="A182" s="205">
        <f t="shared" si="8"/>
        <v>179</v>
      </c>
      <c r="B182" s="207" t="str">
        <f>IF(ISBLANK(VLOOKUP(A182,$C$4:$V$9680,1+$A$1)),D182,VLOOKUP(A182,$C$4:$V$9680,1+$A$1))</f>
        <v>Deutlich von wenigen Standorten</v>
      </c>
      <c r="C182" s="205">
        <f t="shared" si="9"/>
        <v>179</v>
      </c>
      <c r="D182" s="150" t="s">
        <v>326</v>
      </c>
      <c r="E182" s="150" t="s">
        <v>843</v>
      </c>
      <c r="F182" s="150" t="s">
        <v>1233</v>
      </c>
      <c r="G182" s="150" t="s">
        <v>1400</v>
      </c>
      <c r="H182" s="150" t="s">
        <v>2413</v>
      </c>
      <c r="I182" s="150" t="s">
        <v>3903</v>
      </c>
      <c r="J182" s="150" t="s">
        <v>4632</v>
      </c>
      <c r="K182" s="150" t="s">
        <v>5068</v>
      </c>
      <c r="Q182" s="401" t="s">
        <v>2853</v>
      </c>
    </row>
    <row r="183" spans="1:17" ht="26" x14ac:dyDescent="0.35">
      <c r="A183" s="205">
        <f t="shared" si="8"/>
        <v>180</v>
      </c>
      <c r="B183" s="207" t="str">
        <f>IF(ISBLANK(VLOOKUP(A183,$C$4:$V$9680,1+$A$1)),D183,VLOOKUP(A183,$C$4:$V$9680,1+$A$1))</f>
        <v>Keine Kennzeichnung von Fluchtwegen</v>
      </c>
      <c r="C183" s="205">
        <f t="shared" si="9"/>
        <v>180</v>
      </c>
      <c r="D183" s="150" t="s">
        <v>327</v>
      </c>
      <c r="E183" s="150" t="s">
        <v>844</v>
      </c>
      <c r="F183" s="150" t="s">
        <v>1234</v>
      </c>
      <c r="G183" s="150" t="s">
        <v>1401</v>
      </c>
      <c r="H183" s="150" t="s">
        <v>2414</v>
      </c>
      <c r="I183" s="150" t="s">
        <v>3904</v>
      </c>
      <c r="J183" s="150" t="s">
        <v>4633</v>
      </c>
      <c r="K183" s="150" t="s">
        <v>5069</v>
      </c>
      <c r="Q183" s="401" t="s">
        <v>2853</v>
      </c>
    </row>
    <row r="184" spans="1:17" x14ac:dyDescent="0.35">
      <c r="A184" s="205">
        <f t="shared" si="8"/>
        <v>181</v>
      </c>
      <c r="B184" s="207"/>
      <c r="C184" s="205">
        <f t="shared" si="9"/>
        <v>181</v>
      </c>
      <c r="D184" s="150"/>
      <c r="E184" s="150"/>
      <c r="F184" s="150"/>
      <c r="G184" s="150"/>
      <c r="H184" s="150"/>
      <c r="I184" s="150"/>
      <c r="J184" s="150"/>
      <c r="K184" s="150"/>
      <c r="Q184" s="401" t="s">
        <v>2853</v>
      </c>
    </row>
    <row r="185" spans="1:17" x14ac:dyDescent="0.35">
      <c r="A185" s="205">
        <f t="shared" si="8"/>
        <v>182</v>
      </c>
      <c r="B185" s="207" t="str">
        <f>IF(ISBLANK(VLOOKUP(A185,$C$4:$V$9680,1+$A$1)),D185,VLOOKUP(A185,$C$4:$V$9680,1+$A$1))</f>
        <v>Gut</v>
      </c>
      <c r="C185" s="205">
        <f t="shared" si="9"/>
        <v>182</v>
      </c>
      <c r="D185" s="150" t="s">
        <v>149</v>
      </c>
      <c r="E185" s="150" t="s">
        <v>801</v>
      </c>
      <c r="F185" s="150" t="s">
        <v>1182</v>
      </c>
      <c r="G185" s="150" t="s">
        <v>1352</v>
      </c>
      <c r="H185" s="150" t="s">
        <v>2366</v>
      </c>
      <c r="I185" s="150" t="s">
        <v>3827</v>
      </c>
      <c r="J185" s="150" t="s">
        <v>4634</v>
      </c>
      <c r="K185" s="150" t="s">
        <v>4989</v>
      </c>
      <c r="Q185" s="401" t="s">
        <v>2853</v>
      </c>
    </row>
    <row r="186" spans="1:17" x14ac:dyDescent="0.35">
      <c r="A186" s="205">
        <f t="shared" si="8"/>
        <v>183</v>
      </c>
      <c r="B186" s="207" t="str">
        <f>IF(ISBLANK(VLOOKUP(A186,$C$4:$V$9680,1+$A$1)),D186,VLOOKUP(A186,$C$4:$V$9680,1+$A$1))</f>
        <v>Befriedigend</v>
      </c>
      <c r="C186" s="205">
        <f t="shared" si="9"/>
        <v>183</v>
      </c>
      <c r="D186" s="150" t="s">
        <v>319</v>
      </c>
      <c r="E186" s="150" t="s">
        <v>802</v>
      </c>
      <c r="F186" s="150" t="s">
        <v>1229</v>
      </c>
      <c r="G186" s="150" t="s">
        <v>1397</v>
      </c>
      <c r="H186" s="150" t="s">
        <v>2409</v>
      </c>
      <c r="I186" s="150" t="s">
        <v>3899</v>
      </c>
      <c r="J186" s="150" t="s">
        <v>4628</v>
      </c>
      <c r="K186" s="150" t="s">
        <v>5064</v>
      </c>
      <c r="Q186" s="401" t="s">
        <v>2853</v>
      </c>
    </row>
    <row r="187" spans="1:17" x14ac:dyDescent="0.35">
      <c r="A187" s="205">
        <f t="shared" si="8"/>
        <v>184</v>
      </c>
      <c r="B187" s="207" t="str">
        <f>IF(ISBLANK(VLOOKUP(A187,$C$4:$V$9680,1+$A$1)),D187,VLOOKUP(A187,$C$4:$V$9680,1+$A$1))</f>
        <v>Schlecht</v>
      </c>
      <c r="C187" s="205">
        <f t="shared" si="9"/>
        <v>184</v>
      </c>
      <c r="D187" s="150" t="s">
        <v>320</v>
      </c>
      <c r="E187" s="150" t="s">
        <v>803</v>
      </c>
      <c r="F187" s="150" t="s">
        <v>1230</v>
      </c>
      <c r="G187" s="150" t="s">
        <v>1354</v>
      </c>
      <c r="H187" s="150" t="s">
        <v>2410</v>
      </c>
      <c r="I187" s="150" t="s">
        <v>3900</v>
      </c>
      <c r="J187" s="150" t="s">
        <v>4629</v>
      </c>
      <c r="K187" s="150" t="s">
        <v>5065</v>
      </c>
      <c r="Q187" s="401" t="s">
        <v>2853</v>
      </c>
    </row>
    <row r="188" spans="1:17" x14ac:dyDescent="0.35">
      <c r="A188" s="205">
        <f t="shared" si="8"/>
        <v>185</v>
      </c>
      <c r="B188" s="207" t="str">
        <f>IF(ISBLANK(VLOOKUP(A188,$C$4:$V$9680,1+$A$1)),D188,VLOOKUP(A188,$C$4:$V$9680,1+$A$1))</f>
        <v>Keine</v>
      </c>
      <c r="C188" s="205">
        <f t="shared" si="9"/>
        <v>185</v>
      </c>
      <c r="D188" s="150" t="s">
        <v>328</v>
      </c>
      <c r="E188" s="150" t="s">
        <v>829</v>
      </c>
      <c r="F188" s="150" t="s">
        <v>1199</v>
      </c>
      <c r="G188" s="150" t="s">
        <v>1402</v>
      </c>
      <c r="H188" s="150" t="s">
        <v>2394</v>
      </c>
      <c r="I188" s="150" t="s">
        <v>3826</v>
      </c>
      <c r="J188" s="150" t="s">
        <v>4554</v>
      </c>
      <c r="K188" s="150" t="s">
        <v>4988</v>
      </c>
      <c r="Q188" s="401" t="s">
        <v>2853</v>
      </c>
    </row>
    <row r="189" spans="1:17" ht="26" x14ac:dyDescent="0.35">
      <c r="A189" s="205">
        <f t="shared" si="8"/>
        <v>186</v>
      </c>
      <c r="B189" s="207" t="str">
        <f>IF(ISBLANK(VLOOKUP(A189,$C$4:$V$9680,1+$A$1)),D189,VLOOKUP(A189,$C$4:$V$9680,1+$A$1))</f>
        <v>1-geschossiges Parkhaus</v>
      </c>
      <c r="C189" s="205">
        <f t="shared" si="9"/>
        <v>186</v>
      </c>
      <c r="D189" s="150" t="s">
        <v>329</v>
      </c>
      <c r="E189" s="150" t="s">
        <v>1805</v>
      </c>
      <c r="F189" s="150" t="s">
        <v>1235</v>
      </c>
      <c r="G189" s="150" t="s">
        <v>1403</v>
      </c>
      <c r="H189" s="150" t="s">
        <v>2415</v>
      </c>
      <c r="I189" s="150" t="s">
        <v>3905</v>
      </c>
      <c r="J189" s="150" t="s">
        <v>4635</v>
      </c>
      <c r="K189" s="150" t="s">
        <v>5070</v>
      </c>
      <c r="Q189" s="401" t="s">
        <v>2853</v>
      </c>
    </row>
    <row r="190" spans="1:17" x14ac:dyDescent="0.35">
      <c r="A190" s="205">
        <f t="shared" si="8"/>
        <v>187</v>
      </c>
      <c r="B190" s="207"/>
      <c r="C190" s="205">
        <f t="shared" si="9"/>
        <v>187</v>
      </c>
      <c r="D190" s="150"/>
      <c r="E190" s="150"/>
      <c r="F190" s="150"/>
      <c r="G190" s="150"/>
      <c r="H190" s="150"/>
      <c r="I190" s="150"/>
      <c r="J190" s="150"/>
      <c r="K190" s="150"/>
      <c r="Q190" s="401" t="s">
        <v>2853</v>
      </c>
    </row>
    <row r="191" spans="1:17" x14ac:dyDescent="0.35">
      <c r="A191" s="205">
        <f t="shared" si="8"/>
        <v>188</v>
      </c>
      <c r="B191" s="207" t="str">
        <f>IF(ISBLANK(VLOOKUP(A191,$C$4:$V$9680,1+$A$1)),D191,VLOOKUP(A191,$C$4:$V$9680,1+$A$1))</f>
        <v>Gut</v>
      </c>
      <c r="C191" s="205">
        <f t="shared" si="9"/>
        <v>188</v>
      </c>
      <c r="D191" s="150" t="s">
        <v>149</v>
      </c>
      <c r="E191" s="150" t="s">
        <v>801</v>
      </c>
      <c r="F191" s="150" t="s">
        <v>1182</v>
      </c>
      <c r="G191" s="150" t="s">
        <v>1352</v>
      </c>
      <c r="H191" s="150" t="s">
        <v>2366</v>
      </c>
      <c r="I191" s="150" t="s">
        <v>3827</v>
      </c>
      <c r="J191" s="150" t="s">
        <v>4636</v>
      </c>
      <c r="K191" s="150" t="s">
        <v>4989</v>
      </c>
      <c r="Q191" s="401" t="s">
        <v>2853</v>
      </c>
    </row>
    <row r="192" spans="1:17" x14ac:dyDescent="0.35">
      <c r="A192" s="205">
        <f t="shared" si="8"/>
        <v>189</v>
      </c>
      <c r="B192" s="207" t="str">
        <f>IF(ISBLANK(VLOOKUP(A192,$C$4:$V$9680,1+$A$1)),D192,VLOOKUP(A192,$C$4:$V$9680,1+$A$1))</f>
        <v>Einige</v>
      </c>
      <c r="C192" s="205">
        <f t="shared" si="9"/>
        <v>189</v>
      </c>
      <c r="D192" s="150" t="s">
        <v>330</v>
      </c>
      <c r="E192" s="150" t="s">
        <v>845</v>
      </c>
      <c r="F192" s="150" t="s">
        <v>1236</v>
      </c>
      <c r="G192" s="150" t="s">
        <v>1404</v>
      </c>
      <c r="H192" s="150" t="s">
        <v>2416</v>
      </c>
      <c r="I192" s="150" t="s">
        <v>3906</v>
      </c>
      <c r="J192" s="150" t="s">
        <v>4637</v>
      </c>
      <c r="K192" s="150" t="s">
        <v>5071</v>
      </c>
      <c r="Q192" s="401" t="s">
        <v>2853</v>
      </c>
    </row>
    <row r="193" spans="1:17" x14ac:dyDescent="0.35">
      <c r="A193" s="205">
        <f t="shared" si="8"/>
        <v>190</v>
      </c>
      <c r="B193" s="207" t="str">
        <f>IF(ISBLANK(VLOOKUP(A193,$C$4:$V$9680,1+$A$1)),D193,VLOOKUP(A193,$C$4:$V$9680,1+$A$1))</f>
        <v>Keine</v>
      </c>
      <c r="C193" s="205">
        <f t="shared" si="9"/>
        <v>190</v>
      </c>
      <c r="D193" s="150" t="s">
        <v>328</v>
      </c>
      <c r="E193" s="150" t="s">
        <v>829</v>
      </c>
      <c r="F193" s="150" t="s">
        <v>1199</v>
      </c>
      <c r="G193" s="150" t="s">
        <v>1402</v>
      </c>
      <c r="H193" s="150" t="s">
        <v>2394</v>
      </c>
      <c r="I193" s="150" t="s">
        <v>3826</v>
      </c>
      <c r="J193" s="150" t="s">
        <v>4554</v>
      </c>
      <c r="K193" s="150" t="s">
        <v>4988</v>
      </c>
      <c r="Q193" s="401" t="s">
        <v>2853</v>
      </c>
    </row>
    <row r="194" spans="1:17" x14ac:dyDescent="0.35">
      <c r="A194" s="205">
        <f t="shared" si="8"/>
        <v>191</v>
      </c>
      <c r="B194" s="207"/>
      <c r="C194" s="205">
        <f t="shared" si="9"/>
        <v>191</v>
      </c>
      <c r="D194" s="152"/>
      <c r="E194" s="152"/>
      <c r="F194" s="150"/>
      <c r="G194" s="150"/>
      <c r="H194" s="150"/>
      <c r="I194" s="150"/>
      <c r="J194" s="150"/>
      <c r="K194" s="150"/>
      <c r="Q194" s="401" t="s">
        <v>2853</v>
      </c>
    </row>
    <row r="195" spans="1:17" ht="39" x14ac:dyDescent="0.35">
      <c r="A195" s="205">
        <f t="shared" si="8"/>
        <v>192</v>
      </c>
      <c r="B195" s="207" t="str">
        <f>IF(ISBLANK(VLOOKUP(A195,$C$4:$V$9680,1+$A$1)),D195,VLOOKUP(A195,$C$4:$V$9680,1+$A$1))</f>
        <v>Nummeriert einschießlich Geschoßidentifizierung</v>
      </c>
      <c r="C195" s="205">
        <f t="shared" si="9"/>
        <v>192</v>
      </c>
      <c r="D195" s="150" t="s">
        <v>333</v>
      </c>
      <c r="E195" s="150" t="s">
        <v>846</v>
      </c>
      <c r="F195" s="150" t="s">
        <v>1237</v>
      </c>
      <c r="G195" s="150" t="s">
        <v>1405</v>
      </c>
      <c r="H195" s="150" t="s">
        <v>2417</v>
      </c>
      <c r="I195" s="150" t="s">
        <v>3907</v>
      </c>
      <c r="J195" s="150" t="s">
        <v>4638</v>
      </c>
      <c r="K195" s="150" t="s">
        <v>5072</v>
      </c>
      <c r="Q195" s="401" t="s">
        <v>2853</v>
      </c>
    </row>
    <row r="196" spans="1:17" x14ac:dyDescent="0.35">
      <c r="A196" s="205">
        <f t="shared" si="8"/>
        <v>193</v>
      </c>
      <c r="B196" s="207" t="str">
        <f>IF(ISBLANK(VLOOKUP(A196,$C$4:$V$9680,1+$A$1)),D196,VLOOKUP(A196,$C$4:$V$9680,1+$A$1))</f>
        <v>Nur nummeriert</v>
      </c>
      <c r="C196" s="205">
        <f t="shared" si="9"/>
        <v>193</v>
      </c>
      <c r="D196" s="150" t="s">
        <v>334</v>
      </c>
      <c r="E196" s="150" t="s">
        <v>847</v>
      </c>
      <c r="F196" s="150" t="s">
        <v>1238</v>
      </c>
      <c r="G196" s="150" t="s">
        <v>1406</v>
      </c>
      <c r="H196" s="150" t="s">
        <v>2418</v>
      </c>
      <c r="I196" s="150" t="s">
        <v>3908</v>
      </c>
      <c r="J196" s="150" t="s">
        <v>4639</v>
      </c>
      <c r="K196" s="150" t="s">
        <v>5073</v>
      </c>
      <c r="Q196" s="401" t="s">
        <v>2853</v>
      </c>
    </row>
    <row r="197" spans="1:17" x14ac:dyDescent="0.35">
      <c r="A197" s="205">
        <f t="shared" si="8"/>
        <v>194</v>
      </c>
      <c r="B197" s="207" t="str">
        <f>IF(ISBLANK(VLOOKUP(A197,$C$4:$V$9680,1+$A$1)),D197,VLOOKUP(A197,$C$4:$V$9680,1+$A$1))</f>
        <v>Keine</v>
      </c>
      <c r="C197" s="205">
        <f t="shared" si="9"/>
        <v>194</v>
      </c>
      <c r="D197" s="150" t="s">
        <v>328</v>
      </c>
      <c r="E197" s="150" t="s">
        <v>829</v>
      </c>
      <c r="F197" s="150" t="s">
        <v>1199</v>
      </c>
      <c r="G197" s="150" t="s">
        <v>1402</v>
      </c>
      <c r="H197" s="150" t="s">
        <v>2394</v>
      </c>
      <c r="I197" s="150" t="s">
        <v>3826</v>
      </c>
      <c r="J197" s="150" t="s">
        <v>4554</v>
      </c>
      <c r="K197" s="150" t="s">
        <v>4988</v>
      </c>
      <c r="Q197" s="401" t="s">
        <v>2853</v>
      </c>
    </row>
    <row r="198" spans="1:17" x14ac:dyDescent="0.35">
      <c r="A198" s="205">
        <f t="shared" si="8"/>
        <v>195</v>
      </c>
      <c r="B198" s="207"/>
      <c r="C198" s="205">
        <f t="shared" si="9"/>
        <v>195</v>
      </c>
      <c r="D198" s="150"/>
      <c r="E198" s="150"/>
      <c r="F198" s="150"/>
      <c r="G198" s="150"/>
      <c r="H198" s="150"/>
      <c r="I198" s="150"/>
      <c r="J198" s="150"/>
      <c r="K198" s="150"/>
      <c r="Q198" s="401" t="s">
        <v>2853</v>
      </c>
    </row>
    <row r="199" spans="1:17" ht="39" x14ac:dyDescent="0.35">
      <c r="A199" s="205">
        <f t="shared" si="8"/>
        <v>196</v>
      </c>
      <c r="B199" s="207" t="str">
        <f>IF(ISBLANK(VLOOKUP(A199,$C$4:$V$9680,1+$A$1)),D199,VLOOKUP(A199,$C$4:$V$9680,1+$A$1))</f>
        <v>Verfügbare Plätze</v>
      </c>
      <c r="C199" s="205">
        <f t="shared" si="9"/>
        <v>196</v>
      </c>
      <c r="D199" s="150" t="s">
        <v>2886</v>
      </c>
      <c r="E199" s="150" t="s">
        <v>3013</v>
      </c>
      <c r="F199" s="150" t="s">
        <v>3270</v>
      </c>
      <c r="G199" s="150" t="s">
        <v>5336</v>
      </c>
      <c r="H199" s="150" t="s">
        <v>3420</v>
      </c>
      <c r="I199" s="150" t="s">
        <v>3909</v>
      </c>
      <c r="J199" s="150" t="s">
        <v>4640</v>
      </c>
      <c r="K199" s="150" t="s">
        <v>5074</v>
      </c>
      <c r="Q199" s="401" t="s">
        <v>2853</v>
      </c>
    </row>
    <row r="200" spans="1:17" x14ac:dyDescent="0.35">
      <c r="A200" s="205">
        <f t="shared" si="8"/>
        <v>197</v>
      </c>
      <c r="B200" s="207" t="str">
        <f>IF(ISBLANK(VLOOKUP(A200,$C$4:$V$9680,1+$A$1)),D200,VLOOKUP(A200,$C$4:$V$9680,1+$A$1))</f>
        <v>Frei / Besetzt</v>
      </c>
      <c r="C200" s="205">
        <f t="shared" si="9"/>
        <v>197</v>
      </c>
      <c r="D200" s="150" t="s">
        <v>2887</v>
      </c>
      <c r="E200" s="150" t="s">
        <v>3014</v>
      </c>
      <c r="F200" s="150" t="s">
        <v>3271</v>
      </c>
      <c r="G200" s="150" t="s">
        <v>5337</v>
      </c>
      <c r="H200" s="150" t="s">
        <v>3421</v>
      </c>
      <c r="I200" s="150" t="s">
        <v>3910</v>
      </c>
      <c r="J200" s="150" t="s">
        <v>4641</v>
      </c>
      <c r="K200" s="150" t="s">
        <v>5075</v>
      </c>
      <c r="Q200" s="401" t="s">
        <v>2853</v>
      </c>
    </row>
    <row r="201" spans="1:17" x14ac:dyDescent="0.35">
      <c r="A201" s="205">
        <f t="shared" si="8"/>
        <v>198</v>
      </c>
      <c r="B201" s="207" t="str">
        <f>IF(ISBLANK(VLOOKUP(A201,$C$4:$V$9680,1+$A$1)),D201,VLOOKUP(A201,$C$4:$V$9680,1+$A$1))</f>
        <v xml:space="preserve">Nein </v>
      </c>
      <c r="C201" s="205">
        <f t="shared" si="9"/>
        <v>198</v>
      </c>
      <c r="D201" s="150" t="s">
        <v>131</v>
      </c>
      <c r="E201" s="150" t="s">
        <v>829</v>
      </c>
      <c r="F201" s="150" t="s">
        <v>1168</v>
      </c>
      <c r="G201" s="150" t="s">
        <v>5338</v>
      </c>
      <c r="H201" s="150" t="s">
        <v>2354</v>
      </c>
      <c r="I201" s="150" t="s">
        <v>3808</v>
      </c>
      <c r="J201" s="150" t="s">
        <v>4591</v>
      </c>
      <c r="K201" s="150" t="s">
        <v>131</v>
      </c>
      <c r="Q201" s="401" t="s">
        <v>2853</v>
      </c>
    </row>
    <row r="202" spans="1:17" x14ac:dyDescent="0.35">
      <c r="A202" s="205">
        <f t="shared" si="8"/>
        <v>199</v>
      </c>
      <c r="B202" s="207"/>
      <c r="C202" s="205">
        <f t="shared" si="9"/>
        <v>199</v>
      </c>
      <c r="D202" s="150"/>
      <c r="E202" s="150"/>
      <c r="F202" s="150"/>
      <c r="G202" s="150"/>
      <c r="H202" s="150"/>
      <c r="I202" s="150"/>
      <c r="J202" s="150"/>
      <c r="K202" s="150"/>
      <c r="Q202" s="401" t="s">
        <v>2853</v>
      </c>
    </row>
    <row r="203" spans="1:17" ht="26" x14ac:dyDescent="0.35">
      <c r="A203" s="205">
        <f t="shared" si="8"/>
        <v>200</v>
      </c>
      <c r="B203" s="207" t="str">
        <f>IF(ISBLANK(VLOOKUP(A203,$C$4:$V$9680,1+$A$1)),D203,VLOOKUP(A203,$C$4:$V$9680,1+$A$1))</f>
        <v>An jedem Fußgängerzugang</v>
      </c>
      <c r="C203" s="205">
        <f t="shared" si="9"/>
        <v>200</v>
      </c>
      <c r="D203" s="150" t="s">
        <v>2888</v>
      </c>
      <c r="E203" s="150" t="s">
        <v>3015</v>
      </c>
      <c r="F203" s="150" t="s">
        <v>3272</v>
      </c>
      <c r="G203" s="150" t="s">
        <v>5339</v>
      </c>
      <c r="H203" s="150" t="s">
        <v>3422</v>
      </c>
      <c r="I203" s="150" t="s">
        <v>3911</v>
      </c>
      <c r="J203" s="150" t="s">
        <v>4642</v>
      </c>
      <c r="K203" s="150" t="s">
        <v>5076</v>
      </c>
      <c r="Q203" s="401" t="s">
        <v>2853</v>
      </c>
    </row>
    <row r="204" spans="1:17" x14ac:dyDescent="0.35">
      <c r="A204" s="205">
        <f t="shared" si="8"/>
        <v>201</v>
      </c>
      <c r="B204" s="207" t="str">
        <f>IF(ISBLANK(VLOOKUP(A204,$C$4:$V$9680,1+$A$1)),D204,VLOOKUP(A204,$C$4:$V$9680,1+$A$1))</f>
        <v>Eine Stelle</v>
      </c>
      <c r="C204" s="205">
        <f t="shared" si="9"/>
        <v>201</v>
      </c>
      <c r="D204" s="150" t="s">
        <v>2889</v>
      </c>
      <c r="E204" s="150" t="s">
        <v>3016</v>
      </c>
      <c r="F204" s="150" t="s">
        <v>3273</v>
      </c>
      <c r="G204" s="150" t="s">
        <v>5340</v>
      </c>
      <c r="H204" s="150" t="s">
        <v>3423</v>
      </c>
      <c r="I204" s="150" t="s">
        <v>3912</v>
      </c>
      <c r="J204" s="150" t="s">
        <v>4643</v>
      </c>
      <c r="K204" s="150" t="s">
        <v>5077</v>
      </c>
      <c r="Q204" s="401" t="s">
        <v>2853</v>
      </c>
    </row>
    <row r="205" spans="1:17" x14ac:dyDescent="0.35">
      <c r="A205" s="205">
        <f t="shared" si="8"/>
        <v>202</v>
      </c>
      <c r="B205" s="207" t="str">
        <f>IF(ISBLANK(VLOOKUP(A205,$C$4:$V$9680,1+$A$1)),D205,VLOOKUP(A205,$C$4:$V$9680,1+$A$1))</f>
        <v>Nein</v>
      </c>
      <c r="C205" s="205">
        <f t="shared" si="9"/>
        <v>202</v>
      </c>
      <c r="D205" s="150" t="s">
        <v>131</v>
      </c>
      <c r="E205" s="150" t="s">
        <v>792</v>
      </c>
      <c r="F205" s="150" t="s">
        <v>1199</v>
      </c>
      <c r="G205" s="150" t="s">
        <v>1338</v>
      </c>
      <c r="H205" s="150" t="s">
        <v>2354</v>
      </c>
      <c r="I205" s="150" t="s">
        <v>3808</v>
      </c>
      <c r="J205" s="150" t="s">
        <v>4591</v>
      </c>
      <c r="K205" s="150" t="s">
        <v>131</v>
      </c>
      <c r="Q205" s="401" t="s">
        <v>2853</v>
      </c>
    </row>
    <row r="206" spans="1:17" x14ac:dyDescent="0.35">
      <c r="A206" s="205">
        <f t="shared" si="8"/>
        <v>203</v>
      </c>
      <c r="B206" s="207"/>
      <c r="C206" s="205">
        <f t="shared" si="9"/>
        <v>203</v>
      </c>
      <c r="D206" s="150"/>
      <c r="E206" s="150"/>
      <c r="F206" s="150"/>
      <c r="G206" s="150"/>
      <c r="H206" s="150"/>
      <c r="I206" s="150"/>
      <c r="J206" s="150"/>
      <c r="K206" s="150"/>
      <c r="Q206" s="401" t="s">
        <v>2853</v>
      </c>
    </row>
    <row r="207" spans="1:17" x14ac:dyDescent="0.35">
      <c r="A207" s="205">
        <f t="shared" si="8"/>
        <v>204</v>
      </c>
      <c r="B207" s="207" t="str">
        <f>IF(ISBLANK(VLOOKUP(A207,$C$4:$V$9680,1+$A$1)),D207,VLOOKUP(A207,$C$4:$V$9680,1+$A$1))</f>
        <v>Ja</v>
      </c>
      <c r="C207" s="205">
        <f t="shared" si="9"/>
        <v>204</v>
      </c>
      <c r="D207" s="150" t="s">
        <v>130</v>
      </c>
      <c r="E207" s="150" t="s">
        <v>791</v>
      </c>
      <c r="F207" s="150" t="s">
        <v>1167</v>
      </c>
      <c r="G207" s="150" t="s">
        <v>791</v>
      </c>
      <c r="H207" s="150" t="s">
        <v>2353</v>
      </c>
      <c r="I207" s="150" t="s">
        <v>3807</v>
      </c>
      <c r="J207" s="150" t="s">
        <v>4536</v>
      </c>
      <c r="K207" s="150" t="s">
        <v>4970</v>
      </c>
      <c r="Q207" s="401" t="s">
        <v>2853</v>
      </c>
    </row>
    <row r="208" spans="1:17" x14ac:dyDescent="0.35">
      <c r="A208" s="205">
        <f t="shared" si="8"/>
        <v>205</v>
      </c>
      <c r="B208" s="207" t="str">
        <f>IF(ISBLANK(VLOOKUP(A208,$C$4:$V$9680,1+$A$1)),D208,VLOOKUP(A208,$C$4:$V$9680,1+$A$1))</f>
        <v>Nein</v>
      </c>
      <c r="C208" s="205">
        <f t="shared" si="9"/>
        <v>205</v>
      </c>
      <c r="D208" s="150" t="s">
        <v>131</v>
      </c>
      <c r="E208" s="150" t="s">
        <v>792</v>
      </c>
      <c r="F208" s="150" t="s">
        <v>1168</v>
      </c>
      <c r="G208" s="150" t="s">
        <v>1338</v>
      </c>
      <c r="H208" s="150" t="s">
        <v>2354</v>
      </c>
      <c r="I208" s="150" t="s">
        <v>3808</v>
      </c>
      <c r="J208" s="150" t="s">
        <v>4591</v>
      </c>
      <c r="K208" s="150" t="s">
        <v>131</v>
      </c>
      <c r="Q208" s="401" t="s">
        <v>2853</v>
      </c>
    </row>
    <row r="209" spans="1:17" ht="39" x14ac:dyDescent="0.35">
      <c r="A209" s="205">
        <f t="shared" si="8"/>
        <v>206</v>
      </c>
      <c r="B209" s="207" t="str">
        <f>IF(ISBLANK(VLOOKUP(A209,$C$4:$V$9680,1+$A$1)),D209,VLOOKUP(A209,$C$4:$V$9680,1+$A$1))</f>
        <v>Kennzeichenerkennung verknüpft mit einem Zahlungsmittel</v>
      </c>
      <c r="C209" s="205">
        <f t="shared" si="9"/>
        <v>206</v>
      </c>
      <c r="D209" s="150" t="s">
        <v>2890</v>
      </c>
      <c r="E209" s="150" t="s">
        <v>3017</v>
      </c>
      <c r="F209" s="150" t="s">
        <v>3274</v>
      </c>
      <c r="G209" s="150" t="s">
        <v>5341</v>
      </c>
      <c r="H209" s="150" t="s">
        <v>3424</v>
      </c>
      <c r="I209" s="150" t="s">
        <v>3913</v>
      </c>
      <c r="J209" s="150" t="s">
        <v>4644</v>
      </c>
      <c r="K209" s="150" t="s">
        <v>5078</v>
      </c>
      <c r="Q209" s="401" t="s">
        <v>2853</v>
      </c>
    </row>
    <row r="210" spans="1:17" x14ac:dyDescent="0.35">
      <c r="A210" s="205">
        <f t="shared" si="8"/>
        <v>207</v>
      </c>
      <c r="B210" s="207"/>
      <c r="C210" s="205">
        <f t="shared" si="9"/>
        <v>207</v>
      </c>
      <c r="D210" s="150"/>
      <c r="E210" s="150"/>
      <c r="F210" s="150"/>
      <c r="G210" s="150"/>
      <c r="H210" s="150"/>
      <c r="I210" s="150"/>
      <c r="J210" s="150"/>
      <c r="K210" s="150"/>
      <c r="Q210" s="401" t="s">
        <v>2853</v>
      </c>
    </row>
    <row r="211" spans="1:17" ht="26" x14ac:dyDescent="0.35">
      <c r="A211" s="205">
        <f t="shared" si="8"/>
        <v>208</v>
      </c>
      <c r="B211" s="207" t="str">
        <f>IF(ISBLANK(VLOOKUP(A211,$C$4:$V$9680,1+$A$1)),D211,VLOOKUP(A211,$C$4:$V$9680,1+$A$1))</f>
        <v>Eine Bezahlstation</v>
      </c>
      <c r="C211" s="205">
        <f t="shared" si="9"/>
        <v>208</v>
      </c>
      <c r="D211" s="150" t="s">
        <v>362</v>
      </c>
      <c r="E211" s="150" t="s">
        <v>1808</v>
      </c>
      <c r="F211" s="150" t="s">
        <v>1239</v>
      </c>
      <c r="G211" s="150" t="s">
        <v>5342</v>
      </c>
      <c r="H211" s="150" t="s">
        <v>2419</v>
      </c>
      <c r="I211" s="150" t="s">
        <v>3914</v>
      </c>
      <c r="J211" s="150" t="s">
        <v>4645</v>
      </c>
      <c r="K211" s="150" t="s">
        <v>5079</v>
      </c>
      <c r="Q211" s="401" t="s">
        <v>2853</v>
      </c>
    </row>
    <row r="212" spans="1:17" ht="26" x14ac:dyDescent="0.35">
      <c r="A212" s="205">
        <f t="shared" si="8"/>
        <v>209</v>
      </c>
      <c r="B212" s="207" t="str">
        <f>IF(ISBLANK(VLOOKUP(A212,$C$4:$V$9680,1+$A$1)),D212,VLOOKUP(A212,$C$4:$V$9680,1+$A$1))</f>
        <v>Mehr als eine</v>
      </c>
      <c r="C212" s="205">
        <f t="shared" si="9"/>
        <v>209</v>
      </c>
      <c r="D212" s="150" t="s">
        <v>363</v>
      </c>
      <c r="E212" s="150" t="s">
        <v>848</v>
      </c>
      <c r="F212" s="150" t="s">
        <v>1240</v>
      </c>
      <c r="G212" s="150" t="s">
        <v>1408</v>
      </c>
      <c r="H212" s="150" t="s">
        <v>2420</v>
      </c>
      <c r="I212" s="150" t="s">
        <v>3915</v>
      </c>
      <c r="J212" s="150" t="s">
        <v>4646</v>
      </c>
      <c r="K212" s="150" t="s">
        <v>5080</v>
      </c>
      <c r="Q212" s="401" t="s">
        <v>2853</v>
      </c>
    </row>
    <row r="213" spans="1:17" ht="52" x14ac:dyDescent="0.35">
      <c r="A213" s="205">
        <f t="shared" si="8"/>
        <v>210</v>
      </c>
      <c r="B213" s="207" t="str">
        <f>IF(ISBLANK(VLOOKUP(A213,$C$4:$V$9680,1+$A$1)),D213,VLOOKUP(A213,$C$4:$V$9680,1+$A$1))</f>
        <v>Eine an jedem Fußgängerzugang (außer reine Fluchtwege)</v>
      </c>
      <c r="C213" s="205">
        <f t="shared" si="9"/>
        <v>210</v>
      </c>
      <c r="D213" s="150" t="s">
        <v>364</v>
      </c>
      <c r="E213" s="150" t="s">
        <v>1806</v>
      </c>
      <c r="F213" s="150" t="s">
        <v>1241</v>
      </c>
      <c r="G213" s="150" t="s">
        <v>1409</v>
      </c>
      <c r="H213" s="150" t="s">
        <v>2421</v>
      </c>
      <c r="I213" s="150" t="s">
        <v>3916</v>
      </c>
      <c r="J213" s="150" t="s">
        <v>4647</v>
      </c>
      <c r="K213" s="150" t="s">
        <v>5081</v>
      </c>
      <c r="Q213" s="401" t="s">
        <v>2853</v>
      </c>
    </row>
    <row r="214" spans="1:17" ht="39" x14ac:dyDescent="0.35">
      <c r="A214" s="205">
        <f t="shared" si="8"/>
        <v>211</v>
      </c>
      <c r="B214" s="207" t="str">
        <f>IF(ISBLANK(VLOOKUP(A214,$C$4:$V$9680,1+$A$1)),D214,VLOOKUP(A214,$C$4:$V$9680,1+$A$1))</f>
        <v>Eine an jedem Fußgängerzugang</v>
      </c>
      <c r="C214" s="205">
        <f t="shared" si="9"/>
        <v>211</v>
      </c>
      <c r="D214" s="150" t="s">
        <v>539</v>
      </c>
      <c r="E214" s="150" t="s">
        <v>2560</v>
      </c>
      <c r="F214" s="150" t="s">
        <v>1242</v>
      </c>
      <c r="G214" s="150" t="s">
        <v>1410</v>
      </c>
      <c r="H214" s="150" t="s">
        <v>2422</v>
      </c>
      <c r="I214" s="150" t="s">
        <v>3917</v>
      </c>
      <c r="J214" s="150" t="s">
        <v>4648</v>
      </c>
      <c r="K214" s="150" t="s">
        <v>5082</v>
      </c>
      <c r="Q214" s="401" t="s">
        <v>2853</v>
      </c>
    </row>
    <row r="215" spans="1:17" x14ac:dyDescent="0.35">
      <c r="A215" s="205">
        <f t="shared" si="8"/>
        <v>212</v>
      </c>
      <c r="B215" s="207"/>
      <c r="C215" s="205">
        <f t="shared" si="9"/>
        <v>212</v>
      </c>
      <c r="D215" s="152"/>
      <c r="E215" s="152"/>
      <c r="F215" s="150"/>
      <c r="G215" s="150"/>
      <c r="H215" s="150"/>
      <c r="I215" s="150"/>
      <c r="J215" s="150"/>
      <c r="K215" s="150"/>
      <c r="Q215" s="401" t="s">
        <v>2853</v>
      </c>
    </row>
    <row r="216" spans="1:17" x14ac:dyDescent="0.35">
      <c r="A216" s="205">
        <f t="shared" si="8"/>
        <v>213</v>
      </c>
      <c r="B216" s="207" t="str">
        <f>IF(ISBLANK(VLOOKUP(A216,$C$4:$V$9680,1+$A$1)),D216,VLOOKUP(A216,$C$4:$V$9680,1+$A$1))</f>
        <v>Eine</v>
      </c>
      <c r="C216" s="205">
        <f t="shared" si="9"/>
        <v>213</v>
      </c>
      <c r="D216" s="150" t="s">
        <v>366</v>
      </c>
      <c r="E216" s="150" t="s">
        <v>1807</v>
      </c>
      <c r="F216" s="150" t="s">
        <v>1243</v>
      </c>
      <c r="G216" s="150" t="s">
        <v>1411</v>
      </c>
      <c r="H216" s="150" t="s">
        <v>2423</v>
      </c>
      <c r="I216" s="150" t="s">
        <v>3918</v>
      </c>
      <c r="J216" s="150" t="s">
        <v>4649</v>
      </c>
      <c r="K216" s="150" t="s">
        <v>5083</v>
      </c>
      <c r="Q216" s="401" t="s">
        <v>2853</v>
      </c>
    </row>
    <row r="217" spans="1:17" ht="26" x14ac:dyDescent="0.35">
      <c r="A217" s="205">
        <f t="shared" si="8"/>
        <v>214</v>
      </c>
      <c r="B217" s="207" t="str">
        <f>IF(ISBLANK(VLOOKUP(A217,$C$4:$V$9680,1+$A$1)),D217,VLOOKUP(A217,$C$4:$V$9680,1+$A$1))</f>
        <v>weniger als 1 pro 50 Stellplätze</v>
      </c>
      <c r="C217" s="205">
        <f t="shared" si="9"/>
        <v>214</v>
      </c>
      <c r="D217" s="150" t="s">
        <v>2891</v>
      </c>
      <c r="E217" s="150" t="s">
        <v>4133</v>
      </c>
      <c r="F217" s="150" t="s">
        <v>4103</v>
      </c>
      <c r="G217" s="150" t="s">
        <v>4175</v>
      </c>
      <c r="H217" s="150" t="s">
        <v>3425</v>
      </c>
      <c r="I217" s="150" t="s">
        <v>3919</v>
      </c>
      <c r="J217" s="150" t="s">
        <v>4650</v>
      </c>
      <c r="K217" s="150" t="s">
        <v>5084</v>
      </c>
      <c r="Q217" s="401" t="s">
        <v>2853</v>
      </c>
    </row>
    <row r="218" spans="1:17" ht="26" x14ac:dyDescent="0.35">
      <c r="A218" s="205">
        <f t="shared" si="8"/>
        <v>215</v>
      </c>
      <c r="B218" s="207" t="str">
        <f>IF(ISBLANK(VLOOKUP(A218,$C$4:$V$9680,1+$A$1)),D218,VLOOKUP(A218,$C$4:$V$9680,1+$A$1))</f>
        <v>größer als 1 pro 50 Stellplätze</v>
      </c>
      <c r="C218" s="205">
        <f t="shared" si="9"/>
        <v>215</v>
      </c>
      <c r="D218" s="150" t="s">
        <v>2892</v>
      </c>
      <c r="E218" s="150" t="s">
        <v>4134</v>
      </c>
      <c r="F218" s="150" t="s">
        <v>4104</v>
      </c>
      <c r="G218" s="150" t="s">
        <v>4177</v>
      </c>
      <c r="H218" s="150" t="s">
        <v>4176</v>
      </c>
      <c r="I218" s="150" t="s">
        <v>3920</v>
      </c>
      <c r="J218" s="150" t="s">
        <v>4651</v>
      </c>
      <c r="K218" s="150" t="s">
        <v>5085</v>
      </c>
      <c r="Q218" s="401" t="s">
        <v>2853</v>
      </c>
    </row>
    <row r="219" spans="1:17" x14ac:dyDescent="0.35">
      <c r="A219" s="205">
        <f t="shared" si="8"/>
        <v>216</v>
      </c>
      <c r="B219" s="207"/>
      <c r="C219" s="205">
        <f t="shared" si="9"/>
        <v>216</v>
      </c>
      <c r="D219" s="152"/>
      <c r="E219" s="152"/>
      <c r="F219" s="150"/>
      <c r="G219" s="150"/>
      <c r="H219" s="150"/>
      <c r="I219" s="150"/>
      <c r="J219" s="150"/>
      <c r="K219" s="150"/>
      <c r="Q219" s="401" t="s">
        <v>2853</v>
      </c>
    </row>
    <row r="220" spans="1:17" ht="26" x14ac:dyDescent="0.35">
      <c r="A220" s="205">
        <f t="shared" si="8"/>
        <v>217</v>
      </c>
      <c r="B220" s="207" t="str">
        <f>IF(ISBLANK(VLOOKUP(A220,$C$4:$V$9680,1+$A$1)),D220,VLOOKUP(A220,$C$4:$V$9680,1+$A$1))</f>
        <v>unisex</v>
      </c>
      <c r="C220" s="205">
        <f t="shared" si="9"/>
        <v>217</v>
      </c>
      <c r="D220" s="150" t="s">
        <v>373</v>
      </c>
      <c r="E220" s="150" t="s">
        <v>849</v>
      </c>
      <c r="F220" s="150" t="s">
        <v>3275</v>
      </c>
      <c r="G220" s="150" t="s">
        <v>1414</v>
      </c>
      <c r="H220" s="150" t="s">
        <v>2424</v>
      </c>
      <c r="I220" s="150" t="s">
        <v>3921</v>
      </c>
      <c r="J220" s="150" t="s">
        <v>373</v>
      </c>
      <c r="K220" s="150" t="s">
        <v>373</v>
      </c>
      <c r="Q220" s="401" t="s">
        <v>2853</v>
      </c>
    </row>
    <row r="221" spans="1:17" ht="26" x14ac:dyDescent="0.35">
      <c r="A221" s="205">
        <f t="shared" si="8"/>
        <v>218</v>
      </c>
      <c r="B221" s="207" t="str">
        <f>IF(ISBLANK(VLOOKUP(A221,$C$4:$V$9680,1+$A$1)),D221,VLOOKUP(A221,$C$4:$V$9680,1+$A$1))</f>
        <v>Männer/Frauen getrennt</v>
      </c>
      <c r="C221" s="205">
        <f t="shared" si="9"/>
        <v>218</v>
      </c>
      <c r="D221" s="150" t="s">
        <v>374</v>
      </c>
      <c r="E221" s="150" t="s">
        <v>850</v>
      </c>
      <c r="F221" s="150" t="s">
        <v>1244</v>
      </c>
      <c r="G221" s="150" t="s">
        <v>1415</v>
      </c>
      <c r="H221" s="150" t="s">
        <v>2425</v>
      </c>
      <c r="I221" s="150" t="s">
        <v>3922</v>
      </c>
      <c r="J221" s="150" t="s">
        <v>4652</v>
      </c>
      <c r="K221" s="150" t="s">
        <v>5086</v>
      </c>
      <c r="Q221" s="401" t="s">
        <v>2853</v>
      </c>
    </row>
    <row r="222" spans="1:17" x14ac:dyDescent="0.35">
      <c r="A222" s="205">
        <f t="shared" si="8"/>
        <v>219</v>
      </c>
      <c r="B222" s="207"/>
      <c r="C222" s="205">
        <f t="shared" si="9"/>
        <v>219</v>
      </c>
      <c r="D222" s="150"/>
      <c r="E222" s="150"/>
      <c r="F222" s="150"/>
      <c r="G222" s="150"/>
      <c r="H222" s="150"/>
      <c r="I222" s="150"/>
      <c r="J222" s="150"/>
      <c r="K222" s="150"/>
      <c r="Q222" s="401" t="s">
        <v>2853</v>
      </c>
    </row>
    <row r="223" spans="1:17" ht="26" x14ac:dyDescent="0.35">
      <c r="A223" s="205">
        <f t="shared" si="8"/>
        <v>220</v>
      </c>
      <c r="B223" s="207" t="str">
        <f>IF(ISBLANK(VLOOKUP(A223,$C$4:$V$9680,1+$A$1)),D223,VLOOKUP(A223,$C$4:$V$9680,1+$A$1))</f>
        <v>Farbige Stützen</v>
      </c>
      <c r="C223" s="205">
        <f t="shared" si="9"/>
        <v>220</v>
      </c>
      <c r="D223" s="150" t="s">
        <v>379</v>
      </c>
      <c r="E223" s="150" t="s">
        <v>851</v>
      </c>
      <c r="F223" s="150" t="s">
        <v>1245</v>
      </c>
      <c r="G223" s="150" t="s">
        <v>1416</v>
      </c>
      <c r="H223" s="150" t="s">
        <v>2426</v>
      </c>
      <c r="I223" s="150" t="s">
        <v>3923</v>
      </c>
      <c r="J223" s="150" t="s">
        <v>4653</v>
      </c>
      <c r="K223" s="150" t="s">
        <v>5087</v>
      </c>
      <c r="Q223" s="401" t="s">
        <v>2853</v>
      </c>
    </row>
    <row r="224" spans="1:17" x14ac:dyDescent="0.35">
      <c r="A224" s="205">
        <f t="shared" si="8"/>
        <v>221</v>
      </c>
      <c r="B224" s="207" t="str">
        <f>IF(ISBLANK(VLOOKUP(A224,$C$4:$V$9680,1+$A$1)),D224,VLOOKUP(A224,$C$4:$V$9680,1+$A$1))</f>
        <v>Nein/Betongrau</v>
      </c>
      <c r="C224" s="205">
        <f t="shared" si="9"/>
        <v>221</v>
      </c>
      <c r="D224" s="150" t="s">
        <v>381</v>
      </c>
      <c r="E224" s="150" t="s">
        <v>852</v>
      </c>
      <c r="F224" s="150" t="s">
        <v>1246</v>
      </c>
      <c r="G224" s="150" t="s">
        <v>1417</v>
      </c>
      <c r="H224" s="150" t="s">
        <v>2427</v>
      </c>
      <c r="I224" s="150" t="s">
        <v>3924</v>
      </c>
      <c r="J224" s="150" t="s">
        <v>4654</v>
      </c>
      <c r="K224" s="150" t="s">
        <v>5088</v>
      </c>
      <c r="Q224" s="401" t="s">
        <v>2853</v>
      </c>
    </row>
    <row r="225" spans="1:17" x14ac:dyDescent="0.35">
      <c r="A225" s="205">
        <f t="shared" si="8"/>
        <v>222</v>
      </c>
      <c r="B225" s="207"/>
      <c r="C225" s="205">
        <f t="shared" si="9"/>
        <v>222</v>
      </c>
      <c r="D225" s="152"/>
      <c r="E225" s="152"/>
      <c r="F225" s="150"/>
      <c r="G225" s="150"/>
      <c r="H225" s="150"/>
      <c r="I225" s="150"/>
      <c r="J225" s="150"/>
      <c r="K225" s="150"/>
      <c r="Q225" s="401" t="s">
        <v>2853</v>
      </c>
    </row>
    <row r="226" spans="1:17" x14ac:dyDescent="0.35">
      <c r="A226" s="205">
        <f t="shared" si="8"/>
        <v>223</v>
      </c>
      <c r="B226" s="207" t="str">
        <f>IF(ISBLANK(VLOOKUP(A226,$C$4:$V$9680,1+$A$1)),D226,VLOOKUP(A226,$C$4:$V$9680,1+$A$1))</f>
        <v>Farbige Wände</v>
      </c>
      <c r="C226" s="205">
        <f t="shared" si="9"/>
        <v>223</v>
      </c>
      <c r="D226" s="150" t="s">
        <v>380</v>
      </c>
      <c r="E226" s="150" t="s">
        <v>853</v>
      </c>
      <c r="F226" s="150" t="s">
        <v>1247</v>
      </c>
      <c r="G226" s="150" t="s">
        <v>1418</v>
      </c>
      <c r="H226" s="150" t="s">
        <v>2428</v>
      </c>
      <c r="I226" s="150" t="s">
        <v>3925</v>
      </c>
      <c r="J226" s="150" t="s">
        <v>4655</v>
      </c>
      <c r="K226" s="150" t="s">
        <v>5089</v>
      </c>
      <c r="Q226" s="401" t="s">
        <v>2853</v>
      </c>
    </row>
    <row r="227" spans="1:17" x14ac:dyDescent="0.35">
      <c r="A227" s="205">
        <f t="shared" si="8"/>
        <v>224</v>
      </c>
      <c r="B227" s="207" t="str">
        <f>IF(ISBLANK(VLOOKUP(A227,$C$4:$V$9680,1+$A$1)),D227,VLOOKUP(A227,$C$4:$V$9680,1+$A$1))</f>
        <v>Nein/Betongrau</v>
      </c>
      <c r="C227" s="205">
        <f t="shared" si="9"/>
        <v>224</v>
      </c>
      <c r="D227" s="150" t="s">
        <v>381</v>
      </c>
      <c r="E227" s="150" t="s">
        <v>852</v>
      </c>
      <c r="F227" s="150" t="s">
        <v>1246</v>
      </c>
      <c r="G227" s="150" t="s">
        <v>1417</v>
      </c>
      <c r="H227" s="150" t="s">
        <v>2427</v>
      </c>
      <c r="I227" s="150" t="s">
        <v>3924</v>
      </c>
      <c r="J227" s="150" t="s">
        <v>4656</v>
      </c>
      <c r="K227" s="150" t="s">
        <v>5088</v>
      </c>
      <c r="Q227" s="401" t="s">
        <v>2853</v>
      </c>
    </row>
    <row r="228" spans="1:17" x14ac:dyDescent="0.35">
      <c r="A228" s="205">
        <f t="shared" si="8"/>
        <v>225</v>
      </c>
      <c r="B228" s="207"/>
      <c r="C228" s="205">
        <f t="shared" si="9"/>
        <v>225</v>
      </c>
      <c r="D228" s="152"/>
      <c r="E228" s="152"/>
      <c r="F228" s="150"/>
      <c r="G228" s="150"/>
      <c r="H228" s="150"/>
      <c r="I228" s="150"/>
      <c r="J228" s="150"/>
      <c r="K228" s="150"/>
      <c r="Q228" s="401" t="s">
        <v>2853</v>
      </c>
    </row>
    <row r="229" spans="1:17" x14ac:dyDescent="0.35">
      <c r="A229" s="205">
        <f t="shared" si="8"/>
        <v>226</v>
      </c>
      <c r="B229" s="207" t="str">
        <f>IF(ISBLANK(VLOOKUP(A229,$C$4:$V$9680,1+$A$1)),D229,VLOOKUP(A229,$C$4:$V$9680,1+$A$1))</f>
        <v>Ja</v>
      </c>
      <c r="C229" s="205">
        <f t="shared" si="9"/>
        <v>226</v>
      </c>
      <c r="D229" s="150" t="s">
        <v>130</v>
      </c>
      <c r="E229" s="150" t="s">
        <v>791</v>
      </c>
      <c r="F229" s="150" t="s">
        <v>1167</v>
      </c>
      <c r="G229" s="150" t="s">
        <v>791</v>
      </c>
      <c r="H229" s="150" t="s">
        <v>2353</v>
      </c>
      <c r="I229" s="150" t="s">
        <v>3807</v>
      </c>
      <c r="J229" s="150" t="s">
        <v>4536</v>
      </c>
      <c r="K229" s="150" t="s">
        <v>4970</v>
      </c>
      <c r="Q229" s="401" t="s">
        <v>2853</v>
      </c>
    </row>
    <row r="230" spans="1:17" x14ac:dyDescent="0.35">
      <c r="A230" s="205">
        <f t="shared" si="8"/>
        <v>227</v>
      </c>
      <c r="B230" s="207" t="str">
        <f>IF(ISBLANK(VLOOKUP(A230,$C$4:$V$9680,1+$A$1)),D230,VLOOKUP(A230,$C$4:$V$9680,1+$A$1))</f>
        <v>Nein</v>
      </c>
      <c r="C230" s="205">
        <f t="shared" si="9"/>
        <v>227</v>
      </c>
      <c r="D230" s="150" t="s">
        <v>131</v>
      </c>
      <c r="E230" s="150" t="s">
        <v>792</v>
      </c>
      <c r="F230" s="150" t="s">
        <v>1168</v>
      </c>
      <c r="G230" s="150" t="s">
        <v>1338</v>
      </c>
      <c r="H230" s="150" t="s">
        <v>2354</v>
      </c>
      <c r="I230" s="150" t="s">
        <v>3808</v>
      </c>
      <c r="J230" s="150" t="s">
        <v>4591</v>
      </c>
      <c r="K230" s="150" t="s">
        <v>131</v>
      </c>
      <c r="Q230" s="401" t="s">
        <v>2853</v>
      </c>
    </row>
    <row r="231" spans="1:17" ht="26" x14ac:dyDescent="0.35">
      <c r="A231" s="205">
        <f t="shared" si="8"/>
        <v>228</v>
      </c>
      <c r="B231" s="207" t="str">
        <f>IF(ISBLANK(VLOOKUP(A231,$C$4:$V$9680,1+$A$1)),D231,VLOOKUP(A231,$C$4:$V$9680,1+$A$1))</f>
        <v>Irrelevant (Unterirdisch)</v>
      </c>
      <c r="C231" s="205">
        <f t="shared" si="9"/>
        <v>228</v>
      </c>
      <c r="D231" s="150" t="s">
        <v>2893</v>
      </c>
      <c r="E231" s="150" t="s">
        <v>3018</v>
      </c>
      <c r="F231" s="150" t="s">
        <v>3276</v>
      </c>
      <c r="G231" s="150" t="s">
        <v>5343</v>
      </c>
      <c r="H231" s="150" t="s">
        <v>3426</v>
      </c>
      <c r="I231" s="150" t="s">
        <v>3926</v>
      </c>
      <c r="J231" s="150" t="s">
        <v>4657</v>
      </c>
      <c r="K231" s="150" t="s">
        <v>5090</v>
      </c>
      <c r="Q231" s="401" t="s">
        <v>2853</v>
      </c>
    </row>
    <row r="232" spans="1:17" x14ac:dyDescent="0.35">
      <c r="A232" s="205">
        <f t="shared" si="8"/>
        <v>229</v>
      </c>
      <c r="B232" s="207"/>
      <c r="C232" s="205">
        <f t="shared" si="9"/>
        <v>229</v>
      </c>
      <c r="D232" s="152"/>
      <c r="E232" s="152"/>
      <c r="F232" s="150"/>
      <c r="G232" s="150"/>
      <c r="H232" s="150"/>
      <c r="I232" s="150"/>
      <c r="J232" s="150"/>
      <c r="K232" s="150"/>
      <c r="Q232" s="401" t="s">
        <v>2853</v>
      </c>
    </row>
    <row r="233" spans="1:17" ht="26" x14ac:dyDescent="0.35">
      <c r="A233" s="205">
        <f t="shared" si="8"/>
        <v>230</v>
      </c>
      <c r="B233" s="207" t="str">
        <f>IF(ISBLANK(VLOOKUP(A233,$C$4:$V$9680,1+$A$1)),D233,VLOOKUP(A233,$C$4:$V$9680,1+$A$1))</f>
        <v>Mehr als 10%</v>
      </c>
      <c r="C233" s="205">
        <f t="shared" si="9"/>
        <v>230</v>
      </c>
      <c r="D233" s="150" t="s">
        <v>2894</v>
      </c>
      <c r="E233" s="150" t="s">
        <v>4135</v>
      </c>
      <c r="F233" s="150" t="s">
        <v>3277</v>
      </c>
      <c r="G233" s="150" t="s">
        <v>4178</v>
      </c>
      <c r="H233" s="150" t="s">
        <v>3427</v>
      </c>
      <c r="I233" s="150" t="s">
        <v>3927</v>
      </c>
      <c r="J233" s="150" t="s">
        <v>4658</v>
      </c>
      <c r="K233" s="150" t="s">
        <v>5091</v>
      </c>
      <c r="Q233" s="401" t="s">
        <v>2853</v>
      </c>
    </row>
    <row r="234" spans="1:17" ht="26" x14ac:dyDescent="0.35">
      <c r="A234" s="205">
        <f t="shared" si="8"/>
        <v>231</v>
      </c>
      <c r="B234" s="207" t="str">
        <f>IF(ISBLANK(VLOOKUP(A234,$C$4:$V$9680,1+$A$1)),D234,VLOOKUP(A234,$C$4:$V$9680,1+$A$1))</f>
        <v>Zwischen 5% und 10%</v>
      </c>
      <c r="C234" s="205">
        <f t="shared" si="9"/>
        <v>231</v>
      </c>
      <c r="D234" s="150" t="s">
        <v>2895</v>
      </c>
      <c r="E234" s="150" t="s">
        <v>3019</v>
      </c>
      <c r="F234" s="150" t="s">
        <v>3278</v>
      </c>
      <c r="G234" s="150" t="s">
        <v>5344</v>
      </c>
      <c r="H234" s="150" t="s">
        <v>3428</v>
      </c>
      <c r="I234" s="150" t="s">
        <v>3928</v>
      </c>
      <c r="J234" s="150" t="s">
        <v>4659</v>
      </c>
      <c r="K234" s="150" t="s">
        <v>5092</v>
      </c>
      <c r="Q234" s="401" t="s">
        <v>2853</v>
      </c>
    </row>
    <row r="235" spans="1:17" x14ac:dyDescent="0.35">
      <c r="A235" s="205">
        <f t="shared" si="8"/>
        <v>232</v>
      </c>
      <c r="B235" s="207" t="str">
        <f>IF(ISBLANK(VLOOKUP(A235,$C$4:$V$9680,1+$A$1)),D235,VLOOKUP(A235,$C$4:$V$9680,1+$A$1))</f>
        <v>Zwischen 2% und 5%</v>
      </c>
      <c r="C235" s="205">
        <f t="shared" si="9"/>
        <v>232</v>
      </c>
      <c r="D235" s="150" t="s">
        <v>2896</v>
      </c>
      <c r="E235" s="150" t="s">
        <v>3020</v>
      </c>
      <c r="F235" s="150" t="s">
        <v>3279</v>
      </c>
      <c r="G235" s="150" t="s">
        <v>5345</v>
      </c>
      <c r="H235" s="150" t="s">
        <v>3429</v>
      </c>
      <c r="I235" s="150" t="s">
        <v>3929</v>
      </c>
      <c r="J235" s="150" t="s">
        <v>4660</v>
      </c>
      <c r="K235" s="150" t="s">
        <v>5093</v>
      </c>
      <c r="Q235" s="401" t="s">
        <v>2853</v>
      </c>
    </row>
    <row r="236" spans="1:17" ht="26" x14ac:dyDescent="0.35">
      <c r="A236" s="205">
        <f t="shared" si="8"/>
        <v>233</v>
      </c>
      <c r="B236" s="207" t="str">
        <f>IF(ISBLANK(VLOOKUP(A236,$C$4:$V$9680,1+$A$1)),D236,VLOOKUP(A236,$C$4:$V$9680,1+$A$1))</f>
        <v>weniger als 2%</v>
      </c>
      <c r="C236" s="205">
        <f t="shared" si="9"/>
        <v>233</v>
      </c>
      <c r="D236" s="150" t="s">
        <v>2897</v>
      </c>
      <c r="E236" s="150" t="s">
        <v>4136</v>
      </c>
      <c r="F236" s="150" t="s">
        <v>3280</v>
      </c>
      <c r="G236" s="150" t="s">
        <v>4179</v>
      </c>
      <c r="H236" s="150" t="s">
        <v>3430</v>
      </c>
      <c r="I236" s="150" t="s">
        <v>3930</v>
      </c>
      <c r="J236" s="150" t="s">
        <v>4661</v>
      </c>
      <c r="K236" s="150" t="s">
        <v>5094</v>
      </c>
      <c r="Q236" s="401" t="s">
        <v>2853</v>
      </c>
    </row>
    <row r="237" spans="1:17" x14ac:dyDescent="0.35">
      <c r="A237" s="205">
        <f t="shared" si="8"/>
        <v>234</v>
      </c>
      <c r="B237" s="207" t="str">
        <f>IF(ISBLANK(VLOOKUP(A237,$C$4:$V$9680,1+$A$1)),D237,VLOOKUP(A237,$C$4:$V$9680,1+$A$1))</f>
        <v>keine</v>
      </c>
      <c r="C237" s="205">
        <f t="shared" si="9"/>
        <v>234</v>
      </c>
      <c r="D237" s="150" t="s">
        <v>328</v>
      </c>
      <c r="E237" s="150" t="s">
        <v>3021</v>
      </c>
      <c r="F237" s="150" t="s">
        <v>3281</v>
      </c>
      <c r="G237" s="150" t="s">
        <v>1421</v>
      </c>
      <c r="H237" s="150" t="s">
        <v>2394</v>
      </c>
      <c r="I237" s="150" t="s">
        <v>3826</v>
      </c>
      <c r="J237" s="150" t="s">
        <v>4554</v>
      </c>
      <c r="K237" s="150" t="s">
        <v>4988</v>
      </c>
      <c r="Q237" s="401" t="s">
        <v>2853</v>
      </c>
    </row>
    <row r="238" spans="1:17" x14ac:dyDescent="0.35">
      <c r="A238" s="205">
        <f t="shared" si="8"/>
        <v>235</v>
      </c>
      <c r="B238" s="207"/>
      <c r="C238" s="205">
        <f t="shared" si="9"/>
        <v>235</v>
      </c>
      <c r="D238" s="150"/>
      <c r="E238" s="150"/>
      <c r="F238" s="150"/>
      <c r="G238" s="150"/>
      <c r="H238" s="150"/>
      <c r="I238" s="150"/>
      <c r="J238" s="150"/>
      <c r="K238" s="150"/>
      <c r="Q238" s="401" t="s">
        <v>2853</v>
      </c>
    </row>
    <row r="239" spans="1:17" x14ac:dyDescent="0.35">
      <c r="A239" s="205">
        <f t="shared" si="8"/>
        <v>236</v>
      </c>
      <c r="B239" s="207" t="str">
        <f>IF(ISBLANK(VLOOKUP(A239,$C$4:$V$9680,1+$A$1)),D239,VLOOKUP(A239,$C$4:$V$9680,1+$A$1))</f>
        <v>Weniger als 4kW</v>
      </c>
      <c r="C239" s="205">
        <f t="shared" si="9"/>
        <v>236</v>
      </c>
      <c r="D239" s="150" t="s">
        <v>2898</v>
      </c>
      <c r="E239" s="150" t="s">
        <v>4137</v>
      </c>
      <c r="F239" s="150" t="s">
        <v>3282</v>
      </c>
      <c r="G239" s="150" t="s">
        <v>5346</v>
      </c>
      <c r="H239" s="150" t="s">
        <v>3431</v>
      </c>
      <c r="I239" s="150" t="s">
        <v>3931</v>
      </c>
      <c r="J239" s="150" t="s">
        <v>4662</v>
      </c>
      <c r="K239" s="150" t="s">
        <v>5095</v>
      </c>
      <c r="Q239" s="401" t="s">
        <v>2853</v>
      </c>
    </row>
    <row r="240" spans="1:17" ht="26" x14ac:dyDescent="0.35">
      <c r="A240" s="205">
        <f t="shared" si="8"/>
        <v>237</v>
      </c>
      <c r="B240" s="207" t="str">
        <f>IF(ISBLANK(VLOOKUP(A240,$C$4:$V$9680,1+$A$1)),D240,VLOOKUP(A240,$C$4:$V$9680,1+$A$1))</f>
        <v>Zwischen 4kW und 10kW</v>
      </c>
      <c r="C240" s="205">
        <f t="shared" si="9"/>
        <v>237</v>
      </c>
      <c r="D240" s="150" t="s">
        <v>2899</v>
      </c>
      <c r="E240" s="150" t="s">
        <v>3022</v>
      </c>
      <c r="F240" s="150" t="s">
        <v>3283</v>
      </c>
      <c r="G240" s="150" t="s">
        <v>5347</v>
      </c>
      <c r="H240" s="150" t="s">
        <v>3432</v>
      </c>
      <c r="I240" s="150" t="s">
        <v>3932</v>
      </c>
      <c r="J240" s="150" t="s">
        <v>4663</v>
      </c>
      <c r="K240" s="150" t="s">
        <v>5096</v>
      </c>
      <c r="Q240" s="401" t="s">
        <v>2853</v>
      </c>
    </row>
    <row r="241" spans="1:17" ht="26" x14ac:dyDescent="0.35">
      <c r="A241" s="205">
        <f t="shared" si="8"/>
        <v>238</v>
      </c>
      <c r="B241" s="207" t="str">
        <f>IF(ISBLANK(VLOOKUP(A241,$C$4:$V$9680,1+$A$1)),D241,VLOOKUP(A241,$C$4:$V$9680,1+$A$1))</f>
        <v>Zwischen10kW und 20kW</v>
      </c>
      <c r="C241" s="205">
        <f t="shared" si="9"/>
        <v>238</v>
      </c>
      <c r="D241" s="150" t="s">
        <v>2900</v>
      </c>
      <c r="E241" s="150" t="s">
        <v>3023</v>
      </c>
      <c r="F241" s="150" t="s">
        <v>3284</v>
      </c>
      <c r="G241" s="150" t="s">
        <v>5348</v>
      </c>
      <c r="H241" s="150" t="s">
        <v>3433</v>
      </c>
      <c r="I241" s="150" t="s">
        <v>3933</v>
      </c>
      <c r="J241" s="150" t="s">
        <v>4664</v>
      </c>
      <c r="K241" s="150" t="s">
        <v>5097</v>
      </c>
      <c r="Q241" s="401" t="s">
        <v>2853</v>
      </c>
    </row>
    <row r="242" spans="1:17" x14ac:dyDescent="0.35">
      <c r="A242" s="205">
        <f t="shared" si="8"/>
        <v>239</v>
      </c>
      <c r="B242" s="207" t="str">
        <f>IF(ISBLANK(VLOOKUP(A242,$C$4:$V$9680,1+$A$1)),D242,VLOOKUP(A242,$C$4:$V$9680,1+$A$1))</f>
        <v>Mehr als 20kW</v>
      </c>
      <c r="C242" s="205">
        <f t="shared" si="9"/>
        <v>239</v>
      </c>
      <c r="D242" s="150" t="s">
        <v>2901</v>
      </c>
      <c r="E242" s="150" t="s">
        <v>4138</v>
      </c>
      <c r="F242" s="150" t="s">
        <v>3285</v>
      </c>
      <c r="G242" s="150" t="s">
        <v>5349</v>
      </c>
      <c r="H242" s="150" t="s">
        <v>3434</v>
      </c>
      <c r="I242" s="150" t="s">
        <v>3934</v>
      </c>
      <c r="J242" s="150" t="s">
        <v>4665</v>
      </c>
      <c r="K242" s="150" t="s">
        <v>5098</v>
      </c>
      <c r="Q242" s="401" t="s">
        <v>2853</v>
      </c>
    </row>
    <row r="243" spans="1:17" ht="26" x14ac:dyDescent="0.35">
      <c r="A243" s="205">
        <f t="shared" si="8"/>
        <v>240</v>
      </c>
      <c r="B243" s="207" t="str">
        <f>IF(ISBLANK(VLOOKUP(A243,$C$4:$V$9680,1+$A$1)),D243,VLOOKUP(A243,$C$4:$V$9680,1+$A$1))</f>
        <v>Mehr als 50kW</v>
      </c>
      <c r="C243" s="205">
        <f t="shared" si="9"/>
        <v>240</v>
      </c>
      <c r="D243" s="150" t="s">
        <v>2902</v>
      </c>
      <c r="E243" s="150" t="s">
        <v>3024</v>
      </c>
      <c r="F243" s="150" t="s">
        <v>3286</v>
      </c>
      <c r="G243" s="150" t="s">
        <v>5350</v>
      </c>
      <c r="H243" s="150" t="s">
        <v>3435</v>
      </c>
      <c r="I243" s="150" t="s">
        <v>3935</v>
      </c>
      <c r="J243" s="150" t="s">
        <v>4666</v>
      </c>
      <c r="K243" s="150" t="s">
        <v>5099</v>
      </c>
      <c r="Q243" s="401" t="s">
        <v>2853</v>
      </c>
    </row>
    <row r="244" spans="1:17" x14ac:dyDescent="0.35">
      <c r="A244" s="205">
        <f t="shared" si="8"/>
        <v>241</v>
      </c>
      <c r="B244" s="207"/>
      <c r="C244" s="205">
        <f t="shared" si="9"/>
        <v>241</v>
      </c>
      <c r="D244" s="150"/>
      <c r="E244" s="150"/>
      <c r="F244" s="150"/>
      <c r="G244" s="150"/>
      <c r="H244" s="150"/>
      <c r="I244" s="150"/>
      <c r="J244" s="150"/>
      <c r="K244" s="150"/>
      <c r="Q244" s="401" t="s">
        <v>2853</v>
      </c>
    </row>
    <row r="245" spans="1:17" x14ac:dyDescent="0.35">
      <c r="A245" s="205">
        <f t="shared" si="8"/>
        <v>242</v>
      </c>
      <c r="B245" s="207" t="str">
        <f>IF(ISBLANK(VLOOKUP(A245,$C$4:$V$9680,1+$A$1)),D245,VLOOKUP(A245,$C$4:$V$9680,1+$A$1))</f>
        <v>Weniger als 50kW</v>
      </c>
      <c r="C245" s="205">
        <f t="shared" si="9"/>
        <v>242</v>
      </c>
      <c r="D245" s="150" t="s">
        <v>2903</v>
      </c>
      <c r="E245" s="150" t="s">
        <v>4139</v>
      </c>
      <c r="F245" s="150" t="s">
        <v>3287</v>
      </c>
      <c r="G245" s="150" t="s">
        <v>5351</v>
      </c>
      <c r="H245" s="150" t="s">
        <v>3436</v>
      </c>
      <c r="I245" s="150" t="s">
        <v>3936</v>
      </c>
      <c r="J245" s="150" t="s">
        <v>4667</v>
      </c>
      <c r="K245" s="150" t="s">
        <v>5100</v>
      </c>
      <c r="Q245" s="401" t="s">
        <v>2853</v>
      </c>
    </row>
    <row r="246" spans="1:17" ht="26" x14ac:dyDescent="0.35">
      <c r="A246" s="205">
        <f t="shared" si="8"/>
        <v>243</v>
      </c>
      <c r="B246" s="207" t="str">
        <f>IF(ISBLANK(VLOOKUP(A246,$C$4:$V$9680,1+$A$1)),D246,VLOOKUP(A246,$C$4:$V$9680,1+$A$1))</f>
        <v>Zwischen 50kW und 100kW</v>
      </c>
      <c r="C246" s="205">
        <f t="shared" si="9"/>
        <v>243</v>
      </c>
      <c r="D246" s="150" t="s">
        <v>2904</v>
      </c>
      <c r="E246" s="150" t="s">
        <v>3025</v>
      </c>
      <c r="F246" s="150" t="s">
        <v>3288</v>
      </c>
      <c r="G246" s="150" t="s">
        <v>5352</v>
      </c>
      <c r="H246" s="150" t="s">
        <v>3437</v>
      </c>
      <c r="I246" s="150" t="s">
        <v>3937</v>
      </c>
      <c r="J246" s="150" t="s">
        <v>4668</v>
      </c>
      <c r="K246" s="150" t="s">
        <v>5101</v>
      </c>
      <c r="Q246" s="401" t="s">
        <v>2853</v>
      </c>
    </row>
    <row r="247" spans="1:17" ht="26" x14ac:dyDescent="0.35">
      <c r="A247" s="205">
        <f t="shared" si="8"/>
        <v>244</v>
      </c>
      <c r="B247" s="207" t="str">
        <f>IF(ISBLANK(VLOOKUP(A247,$C$4:$V$9680,1+$A$1)),D247,VLOOKUP(A247,$C$4:$V$9680,1+$A$1))</f>
        <v>Zwischen 100kW und 200kW</v>
      </c>
      <c r="C247" s="205">
        <f t="shared" si="9"/>
        <v>244</v>
      </c>
      <c r="D247" s="150" t="s">
        <v>2905</v>
      </c>
      <c r="E247" s="150" t="s">
        <v>3026</v>
      </c>
      <c r="F247" s="150" t="s">
        <v>3289</v>
      </c>
      <c r="G247" s="150" t="s">
        <v>5353</v>
      </c>
      <c r="H247" s="150" t="s">
        <v>3438</v>
      </c>
      <c r="I247" s="150" t="s">
        <v>3938</v>
      </c>
      <c r="J247" s="150" t="s">
        <v>4669</v>
      </c>
      <c r="K247" s="150" t="s">
        <v>5102</v>
      </c>
      <c r="Q247" s="401" t="s">
        <v>2853</v>
      </c>
    </row>
    <row r="248" spans="1:17" x14ac:dyDescent="0.35">
      <c r="A248" s="205">
        <f t="shared" si="8"/>
        <v>245</v>
      </c>
      <c r="B248" s="207" t="str">
        <f>IF(ISBLANK(VLOOKUP(A248,$C$4:$V$9680,1+$A$1)),D248,VLOOKUP(A248,$C$4:$V$9680,1+$A$1))</f>
        <v>Mehr als 200kW</v>
      </c>
      <c r="C248" s="205">
        <f t="shared" si="9"/>
        <v>245</v>
      </c>
      <c r="D248" s="150" t="s">
        <v>2906</v>
      </c>
      <c r="E248" s="150" t="s">
        <v>4140</v>
      </c>
      <c r="F248" s="150" t="s">
        <v>3290</v>
      </c>
      <c r="G248" s="150" t="s">
        <v>5354</v>
      </c>
      <c r="H248" s="150" t="s">
        <v>3439</v>
      </c>
      <c r="I248" s="150" t="s">
        <v>3939</v>
      </c>
      <c r="J248" s="150" t="s">
        <v>4670</v>
      </c>
      <c r="K248" s="150" t="s">
        <v>5103</v>
      </c>
      <c r="Q248" s="401" t="s">
        <v>2853</v>
      </c>
    </row>
    <row r="249" spans="1:17" x14ac:dyDescent="0.35">
      <c r="A249" s="205">
        <f t="shared" si="8"/>
        <v>246</v>
      </c>
      <c r="B249" s="207"/>
      <c r="C249" s="205">
        <f t="shared" si="9"/>
        <v>246</v>
      </c>
      <c r="D249" s="150"/>
      <c r="E249" s="150"/>
      <c r="F249" s="150"/>
      <c r="G249" s="150"/>
      <c r="H249" s="150"/>
      <c r="I249" s="150"/>
      <c r="J249" s="150"/>
      <c r="K249" s="150"/>
      <c r="Q249" s="401" t="s">
        <v>2853</v>
      </c>
    </row>
    <row r="250" spans="1:17" ht="26" x14ac:dyDescent="0.35">
      <c r="A250" s="205">
        <f t="shared" si="8"/>
        <v>247</v>
      </c>
      <c r="B250" s="207" t="str">
        <f>IF(ISBLANK(VLOOKUP(A250,$C$4:$V$9680,1+$A$1)),D250,VLOOKUP(A250,$C$4:$V$9680,1+$A$1))</f>
        <v>Mehr als 10 Plätze</v>
      </c>
      <c r="C250" s="205">
        <f t="shared" si="9"/>
        <v>247</v>
      </c>
      <c r="D250" s="150" t="s">
        <v>2907</v>
      </c>
      <c r="E250" s="150" t="s">
        <v>4141</v>
      </c>
      <c r="F250" s="150" t="s">
        <v>3291</v>
      </c>
      <c r="G250" s="150" t="s">
        <v>5355</v>
      </c>
      <c r="H250" s="150" t="s">
        <v>3440</v>
      </c>
      <c r="I250" s="150" t="s">
        <v>3940</v>
      </c>
      <c r="J250" s="150" t="s">
        <v>4671</v>
      </c>
      <c r="K250" s="150" t="s">
        <v>5104</v>
      </c>
      <c r="Q250" s="401" t="s">
        <v>2853</v>
      </c>
    </row>
    <row r="251" spans="1:17" ht="26" x14ac:dyDescent="0.35">
      <c r="A251" s="205">
        <f t="shared" si="8"/>
        <v>248</v>
      </c>
      <c r="B251" s="207" t="str">
        <f>IF(ISBLANK(VLOOKUP(A251,$C$4:$V$9680,1+$A$1)),D251,VLOOKUP(A251,$C$4:$V$9680,1+$A$1))</f>
        <v>Von 5 bis 10 Plätze</v>
      </c>
      <c r="C251" s="205">
        <f t="shared" si="9"/>
        <v>248</v>
      </c>
      <c r="D251" s="150" t="s">
        <v>2908</v>
      </c>
      <c r="E251" s="150" t="s">
        <v>3027</v>
      </c>
      <c r="F251" s="150" t="s">
        <v>3292</v>
      </c>
      <c r="G251" s="150" t="s">
        <v>5356</v>
      </c>
      <c r="H251" s="150" t="s">
        <v>3441</v>
      </c>
      <c r="I251" s="150" t="s">
        <v>3941</v>
      </c>
      <c r="J251" s="150" t="s">
        <v>4672</v>
      </c>
      <c r="K251" s="150" t="s">
        <v>5105</v>
      </c>
      <c r="Q251" s="401" t="s">
        <v>2853</v>
      </c>
    </row>
    <row r="252" spans="1:17" ht="26" x14ac:dyDescent="0.35">
      <c r="A252" s="205">
        <f t="shared" si="8"/>
        <v>249</v>
      </c>
      <c r="B252" s="207" t="str">
        <f>IF(ISBLANK(VLOOKUP(A252,$C$4:$V$9680,1+$A$1)),D252,VLOOKUP(A252,$C$4:$V$9680,1+$A$1))</f>
        <v>Von 1 bis 5 Plätze</v>
      </c>
      <c r="C252" s="205">
        <f t="shared" si="9"/>
        <v>249</v>
      </c>
      <c r="D252" s="150" t="s">
        <v>2909</v>
      </c>
      <c r="E252" s="150" t="s">
        <v>3028</v>
      </c>
      <c r="F252" s="150" t="s">
        <v>3293</v>
      </c>
      <c r="G252" s="150" t="s">
        <v>5357</v>
      </c>
      <c r="H252" s="150" t="s">
        <v>3442</v>
      </c>
      <c r="I252" s="150" t="s">
        <v>3942</v>
      </c>
      <c r="J252" s="150" t="s">
        <v>4673</v>
      </c>
      <c r="K252" s="150" t="s">
        <v>5106</v>
      </c>
      <c r="Q252" s="401" t="s">
        <v>2853</v>
      </c>
    </row>
    <row r="253" spans="1:17" x14ac:dyDescent="0.35">
      <c r="A253" s="205">
        <f t="shared" si="8"/>
        <v>250</v>
      </c>
      <c r="B253" s="207" t="str">
        <f>IF(ISBLANK(VLOOKUP(A253,$C$4:$V$9680,1+$A$1)),D253,VLOOKUP(A253,$C$4:$V$9680,1+$A$1))</f>
        <v>Keine</v>
      </c>
      <c r="C253" s="205">
        <f t="shared" si="9"/>
        <v>250</v>
      </c>
      <c r="D253" s="150" t="s">
        <v>328</v>
      </c>
      <c r="E253" s="150" t="s">
        <v>829</v>
      </c>
      <c r="F253" s="150" t="s">
        <v>3281</v>
      </c>
      <c r="G253" s="150" t="s">
        <v>1402</v>
      </c>
      <c r="H253" s="150" t="s">
        <v>2394</v>
      </c>
      <c r="I253" s="150" t="s">
        <v>3826</v>
      </c>
      <c r="J253" s="150" t="s">
        <v>4554</v>
      </c>
      <c r="K253" s="150" t="s">
        <v>4988</v>
      </c>
      <c r="Q253" s="401" t="s">
        <v>2853</v>
      </c>
    </row>
    <row r="254" spans="1:17" x14ac:dyDescent="0.35">
      <c r="A254" s="205">
        <f t="shared" si="8"/>
        <v>251</v>
      </c>
      <c r="B254" s="207"/>
      <c r="C254" s="205">
        <f t="shared" si="9"/>
        <v>251</v>
      </c>
      <c r="D254" s="150"/>
      <c r="E254" s="150"/>
      <c r="F254" s="150"/>
      <c r="G254" s="150"/>
      <c r="H254" s="150"/>
      <c r="I254" s="150"/>
      <c r="J254" s="150"/>
      <c r="K254" s="150"/>
      <c r="Q254" s="401" t="s">
        <v>2853</v>
      </c>
    </row>
    <row r="255" spans="1:17" x14ac:dyDescent="0.35">
      <c r="A255" s="205">
        <f t="shared" si="8"/>
        <v>252</v>
      </c>
      <c r="B255" s="207" t="str">
        <f>IF(ISBLANK(VLOOKUP(A255,$C$4:$V$9680,1+$A$1)),D255,VLOOKUP(A255,$C$4:$V$9680,1+$A$1))</f>
        <v>Mehr als 10 Einheiten</v>
      </c>
      <c r="C255" s="205">
        <f t="shared" si="9"/>
        <v>252</v>
      </c>
      <c r="D255" s="150" t="s">
        <v>2910</v>
      </c>
      <c r="E255" s="150" t="s">
        <v>4142</v>
      </c>
      <c r="F255" s="150" t="s">
        <v>3294</v>
      </c>
      <c r="G255" s="150" t="s">
        <v>5358</v>
      </c>
      <c r="H255" s="150" t="s">
        <v>3443</v>
      </c>
      <c r="I255" s="150" t="s">
        <v>3943</v>
      </c>
      <c r="J255" s="150" t="s">
        <v>4674</v>
      </c>
      <c r="K255" s="150" t="s">
        <v>5107</v>
      </c>
      <c r="Q255" s="401" t="s">
        <v>2853</v>
      </c>
    </row>
    <row r="256" spans="1:17" x14ac:dyDescent="0.35">
      <c r="A256" s="205">
        <f t="shared" si="8"/>
        <v>253</v>
      </c>
      <c r="B256" s="207" t="str">
        <f>IF(ISBLANK(VLOOKUP(A256,$C$4:$V$9680,1+$A$1)),D256,VLOOKUP(A256,$C$4:$V$9680,1+$A$1))</f>
        <v>Von 1 bis 10 Einheiten</v>
      </c>
      <c r="C256" s="205">
        <f t="shared" si="9"/>
        <v>253</v>
      </c>
      <c r="D256" s="150" t="s">
        <v>2911</v>
      </c>
      <c r="E256" s="150" t="s">
        <v>3029</v>
      </c>
      <c r="F256" s="150" t="s">
        <v>3295</v>
      </c>
      <c r="G256" s="150" t="s">
        <v>5359</v>
      </c>
      <c r="H256" s="150" t="s">
        <v>3444</v>
      </c>
      <c r="I256" s="150" t="s">
        <v>3944</v>
      </c>
      <c r="J256" s="150" t="s">
        <v>4675</v>
      </c>
      <c r="K256" s="150" t="s">
        <v>5108</v>
      </c>
      <c r="Q256" s="401" t="s">
        <v>2853</v>
      </c>
    </row>
    <row r="257" spans="1:17" x14ac:dyDescent="0.35">
      <c r="A257" s="205">
        <f t="shared" si="8"/>
        <v>254</v>
      </c>
      <c r="B257" s="207" t="str">
        <f>IF(ISBLANK(VLOOKUP(A257,$C$4:$V$9680,1+$A$1)),D257,VLOOKUP(A257,$C$4:$V$9680,1+$A$1))</f>
        <v>Keine</v>
      </c>
      <c r="C257" s="205">
        <f t="shared" si="9"/>
        <v>254</v>
      </c>
      <c r="D257" s="150" t="s">
        <v>328</v>
      </c>
      <c r="E257" s="150" t="s">
        <v>829</v>
      </c>
      <c r="F257" s="150" t="s">
        <v>3281</v>
      </c>
      <c r="G257" s="150" t="s">
        <v>1402</v>
      </c>
      <c r="H257" s="150" t="s">
        <v>2394</v>
      </c>
      <c r="I257" s="150" t="s">
        <v>3826</v>
      </c>
      <c r="J257" s="150" t="s">
        <v>4554</v>
      </c>
      <c r="K257" s="150" t="s">
        <v>4988</v>
      </c>
      <c r="Q257" s="401" t="s">
        <v>2853</v>
      </c>
    </row>
    <row r="258" spans="1:17" x14ac:dyDescent="0.35">
      <c r="A258" s="205">
        <f t="shared" si="8"/>
        <v>255</v>
      </c>
      <c r="B258" s="207"/>
      <c r="C258" s="205">
        <f t="shared" ref="C258:C269" si="10">+C257+1</f>
        <v>255</v>
      </c>
      <c r="D258" s="152"/>
      <c r="E258" s="152"/>
      <c r="F258" s="150"/>
      <c r="G258" s="150"/>
      <c r="H258" s="150"/>
      <c r="I258" s="150"/>
      <c r="J258" s="150"/>
      <c r="K258" s="150"/>
      <c r="Q258" s="401" t="s">
        <v>2853</v>
      </c>
    </row>
    <row r="259" spans="1:17" ht="26" x14ac:dyDescent="0.35">
      <c r="A259" s="205">
        <f t="shared" ref="A259" si="11">C259</f>
        <v>256</v>
      </c>
      <c r="B259" s="207" t="str">
        <f>IF(ISBLANK(VLOOKUP(A259,$C$4:$V$9680,1+$A$1)),D259,VLOOKUP(A259,$C$4:$V$9680,1+$A$1))</f>
        <v>Zu/von allen Geschossen</v>
      </c>
      <c r="C259" s="205">
        <f t="shared" si="10"/>
        <v>256</v>
      </c>
      <c r="D259" s="150" t="s">
        <v>265</v>
      </c>
      <c r="E259" s="150" t="s">
        <v>854</v>
      </c>
      <c r="F259" s="207" t="s">
        <v>1248</v>
      </c>
      <c r="G259" s="207" t="s">
        <v>1422</v>
      </c>
      <c r="H259" s="207" t="s">
        <v>2429</v>
      </c>
      <c r="I259" s="207" t="s">
        <v>3945</v>
      </c>
      <c r="J259" s="207" t="s">
        <v>4676</v>
      </c>
      <c r="K259" s="207" t="s">
        <v>5109</v>
      </c>
      <c r="Q259" s="401" t="s">
        <v>2853</v>
      </c>
    </row>
    <row r="260" spans="1:17" ht="26" x14ac:dyDescent="0.35">
      <c r="A260" s="205">
        <f t="shared" ref="A260:A269" si="12">C260</f>
        <v>257</v>
      </c>
      <c r="B260" s="207" t="str">
        <f>IF(ISBLANK(VLOOKUP(A260,$C$4:$V$9680,1+$A$1)),D260,VLOOKUP(A260,$C$4:$V$9680,1+$A$1))</f>
        <v>Zu/von einigen Geschossen</v>
      </c>
      <c r="C260" s="205">
        <f t="shared" si="10"/>
        <v>257</v>
      </c>
      <c r="D260" s="150" t="s">
        <v>266</v>
      </c>
      <c r="E260" s="150" t="s">
        <v>855</v>
      </c>
      <c r="F260" s="207" t="s">
        <v>1249</v>
      </c>
      <c r="G260" s="207" t="s">
        <v>1423</v>
      </c>
      <c r="H260" s="207" t="s">
        <v>2430</v>
      </c>
      <c r="I260" s="207" t="s">
        <v>3946</v>
      </c>
      <c r="J260" s="207" t="s">
        <v>4677</v>
      </c>
      <c r="K260" s="207" t="s">
        <v>5110</v>
      </c>
      <c r="Q260" s="401" t="s">
        <v>2853</v>
      </c>
    </row>
    <row r="261" spans="1:17" ht="39" x14ac:dyDescent="0.35">
      <c r="A261" s="205">
        <f t="shared" si="12"/>
        <v>258</v>
      </c>
      <c r="B261" s="207" t="str">
        <f>IF(ISBLANK(VLOOKUP(A261,$C$4:$V$9680,1+$A$1)),D261,VLOOKUP(A261,$C$4:$V$9680,1+$A$1))</f>
        <v>Keine Rolltreppen oder Rollsteige</v>
      </c>
      <c r="C261" s="205">
        <f t="shared" si="10"/>
        <v>258</v>
      </c>
      <c r="D261" s="150" t="s">
        <v>267</v>
      </c>
      <c r="E261" s="150" t="s">
        <v>856</v>
      </c>
      <c r="F261" s="207" t="s">
        <v>1250</v>
      </c>
      <c r="G261" s="207" t="s">
        <v>1424</v>
      </c>
      <c r="H261" s="207" t="s">
        <v>2431</v>
      </c>
      <c r="I261" s="207" t="s">
        <v>3947</v>
      </c>
      <c r="J261" s="207" t="s">
        <v>4678</v>
      </c>
      <c r="K261" s="207" t="s">
        <v>5111</v>
      </c>
      <c r="Q261" s="401" t="s">
        <v>2853</v>
      </c>
    </row>
    <row r="262" spans="1:17" x14ac:dyDescent="0.35">
      <c r="A262" s="205">
        <f t="shared" si="12"/>
        <v>259</v>
      </c>
      <c r="B262" s="207"/>
      <c r="C262" s="205">
        <f t="shared" si="10"/>
        <v>259</v>
      </c>
      <c r="D262" s="150"/>
      <c r="E262" s="150"/>
      <c r="F262" s="150"/>
      <c r="G262" s="150"/>
      <c r="H262" s="150"/>
      <c r="I262" s="150"/>
      <c r="J262" s="150"/>
      <c r="K262" s="150"/>
      <c r="Q262" s="401" t="s">
        <v>2853</v>
      </c>
    </row>
    <row r="263" spans="1:17" x14ac:dyDescent="0.35">
      <c r="A263" s="205">
        <f t="shared" si="12"/>
        <v>260</v>
      </c>
      <c r="B263" s="207" t="str">
        <f>IF(ISBLANK(VLOOKUP(A263,$C$4:$V$9680,1+$A$1)),D263,VLOOKUP(A263,$C$4:$V$9680,1+$A$1))</f>
        <v>Ja</v>
      </c>
      <c r="C263" s="205">
        <f t="shared" si="10"/>
        <v>260</v>
      </c>
      <c r="D263" s="150" t="s">
        <v>130</v>
      </c>
      <c r="E263" s="150" t="s">
        <v>791</v>
      </c>
      <c r="F263" s="150" t="s">
        <v>1167</v>
      </c>
      <c r="G263" s="150" t="s">
        <v>791</v>
      </c>
      <c r="H263" s="150" t="s">
        <v>2353</v>
      </c>
      <c r="I263" s="150" t="s">
        <v>3807</v>
      </c>
      <c r="J263" s="150" t="s">
        <v>4536</v>
      </c>
      <c r="K263" s="150" t="s">
        <v>4970</v>
      </c>
      <c r="Q263" s="401" t="s">
        <v>2853</v>
      </c>
    </row>
    <row r="264" spans="1:17" x14ac:dyDescent="0.35">
      <c r="A264" s="205">
        <f t="shared" si="12"/>
        <v>261</v>
      </c>
      <c r="B264" s="207" t="str">
        <f>IF(ISBLANK(VLOOKUP(A264,$C$4:$V$9680,1+$A$1)),D264,VLOOKUP(A264,$C$4:$V$9680,1+$A$1))</f>
        <v>Nein</v>
      </c>
      <c r="C264" s="205">
        <f t="shared" si="10"/>
        <v>261</v>
      </c>
      <c r="D264" s="150" t="s">
        <v>131</v>
      </c>
      <c r="E264" s="150" t="s">
        <v>792</v>
      </c>
      <c r="F264" s="150" t="s">
        <v>1168</v>
      </c>
      <c r="G264" s="150" t="s">
        <v>1338</v>
      </c>
      <c r="H264" s="150" t="s">
        <v>2354</v>
      </c>
      <c r="I264" s="150" t="s">
        <v>3808</v>
      </c>
      <c r="J264" s="150" t="s">
        <v>4591</v>
      </c>
      <c r="K264" s="150" t="s">
        <v>131</v>
      </c>
      <c r="Q264" s="401" t="s">
        <v>2853</v>
      </c>
    </row>
    <row r="265" spans="1:17" ht="26" x14ac:dyDescent="0.35">
      <c r="A265" s="205">
        <f t="shared" si="12"/>
        <v>262</v>
      </c>
      <c r="B265" s="207" t="str">
        <f>IF(ISBLANK(VLOOKUP(A265,$C$4:$V$9680,1+$A$1)),D265,VLOOKUP(A265,$C$4:$V$9680,1+$A$1))</f>
        <v>Abfahrtszeiten werden angezeigt</v>
      </c>
      <c r="C265" s="205">
        <f t="shared" si="10"/>
        <v>262</v>
      </c>
      <c r="D265" s="150" t="s">
        <v>2912</v>
      </c>
      <c r="E265" s="150" t="s">
        <v>3030</v>
      </c>
      <c r="F265" s="150" t="s">
        <v>3296</v>
      </c>
      <c r="G265" s="150" t="s">
        <v>5360</v>
      </c>
      <c r="H265" s="150" t="s">
        <v>3445</v>
      </c>
      <c r="I265" s="150" t="s">
        <v>3948</v>
      </c>
      <c r="J265" s="150" t="s">
        <v>4679</v>
      </c>
      <c r="K265" s="150" t="s">
        <v>5112</v>
      </c>
      <c r="Q265" s="401" t="s">
        <v>2853</v>
      </c>
    </row>
    <row r="266" spans="1:17" x14ac:dyDescent="0.3">
      <c r="A266" s="205">
        <f t="shared" si="12"/>
        <v>263</v>
      </c>
      <c r="B266" s="207"/>
      <c r="C266" s="205">
        <f t="shared" si="10"/>
        <v>263</v>
      </c>
      <c r="D266" s="150"/>
      <c r="E266" s="555"/>
      <c r="F266" s="556"/>
      <c r="G266" s="556"/>
      <c r="H266" s="556"/>
      <c r="I266" s="556"/>
      <c r="J266" s="556"/>
      <c r="K266" s="556"/>
      <c r="Q266" s="401" t="s">
        <v>2853</v>
      </c>
    </row>
    <row r="267" spans="1:17" x14ac:dyDescent="0.3">
      <c r="A267" s="205">
        <f t="shared" si="12"/>
        <v>264</v>
      </c>
      <c r="B267" s="207"/>
      <c r="C267" s="205">
        <f t="shared" si="10"/>
        <v>264</v>
      </c>
      <c r="D267" s="150"/>
      <c r="E267" s="555"/>
      <c r="F267" s="556"/>
      <c r="G267" s="556"/>
      <c r="H267" s="556"/>
      <c r="I267" s="556"/>
      <c r="J267" s="556"/>
      <c r="K267" s="556"/>
      <c r="Q267" s="401" t="s">
        <v>2853</v>
      </c>
    </row>
    <row r="268" spans="1:17" x14ac:dyDescent="0.3">
      <c r="A268" s="205">
        <f t="shared" si="12"/>
        <v>265</v>
      </c>
      <c r="B268" s="207"/>
      <c r="C268" s="205">
        <f t="shared" si="10"/>
        <v>265</v>
      </c>
      <c r="D268" s="150"/>
      <c r="E268" s="555"/>
      <c r="F268" s="556"/>
      <c r="G268" s="556"/>
      <c r="H268" s="556"/>
      <c r="I268" s="556"/>
      <c r="J268" s="556"/>
      <c r="K268" s="556"/>
      <c r="Q268" s="401" t="s">
        <v>2853</v>
      </c>
    </row>
    <row r="269" spans="1:17" x14ac:dyDescent="0.3">
      <c r="A269" s="205">
        <f t="shared" si="12"/>
        <v>266</v>
      </c>
      <c r="B269" s="207"/>
      <c r="C269" s="205">
        <f t="shared" si="10"/>
        <v>266</v>
      </c>
      <c r="D269" s="150"/>
      <c r="E269" s="555"/>
      <c r="F269" s="556"/>
      <c r="G269" s="556"/>
      <c r="H269" s="556"/>
      <c r="I269" s="556"/>
      <c r="J269" s="556"/>
      <c r="K269" s="556"/>
      <c r="Q269" s="401" t="s">
        <v>2853</v>
      </c>
    </row>
    <row r="270" spans="1:17" x14ac:dyDescent="0.3">
      <c r="E270" s="555"/>
      <c r="F270" s="556"/>
      <c r="G270" s="556"/>
      <c r="H270" s="556"/>
      <c r="I270" s="556"/>
      <c r="J270" s="556"/>
      <c r="K270" s="556"/>
    </row>
    <row r="271" spans="1:17" x14ac:dyDescent="0.3">
      <c r="B271" s="205" t="s">
        <v>2926</v>
      </c>
      <c r="E271" s="555"/>
      <c r="F271" s="556"/>
      <c r="G271" s="556"/>
      <c r="H271" s="556"/>
      <c r="I271" s="556"/>
      <c r="J271" s="556"/>
      <c r="K271" s="556"/>
    </row>
    <row r="272" spans="1:17" x14ac:dyDescent="0.3">
      <c r="E272" s="555"/>
      <c r="F272" s="556"/>
      <c r="G272" s="556"/>
      <c r="H272" s="556"/>
      <c r="I272" s="556"/>
      <c r="J272" s="556"/>
      <c r="K272" s="556"/>
    </row>
    <row r="273" spans="2:11" x14ac:dyDescent="0.3">
      <c r="B273" s="205" t="str">
        <f>IF(rampsCurved=no,Answers!B88,Answers!B93)</f>
        <v>weniger als 4 m</v>
      </c>
      <c r="E273" s="555"/>
      <c r="F273" s="556"/>
      <c r="G273" s="556"/>
      <c r="H273" s="556"/>
      <c r="I273" s="556"/>
      <c r="J273" s="556"/>
      <c r="K273" s="556"/>
    </row>
    <row r="274" spans="2:11" x14ac:dyDescent="0.3">
      <c r="B274" s="205" t="str">
        <f>IF(rampsCurved=no,Answers!B89,Answers!B94)</f>
        <v>4m - 4.3m</v>
      </c>
      <c r="E274" s="555"/>
      <c r="F274" s="556"/>
      <c r="G274" s="556"/>
      <c r="H274" s="556"/>
      <c r="I274" s="556"/>
      <c r="J274" s="556"/>
      <c r="K274" s="556"/>
    </row>
    <row r="275" spans="2:11" x14ac:dyDescent="0.3">
      <c r="B275" s="205" t="str">
        <f>IF(rampsCurved=no,Answers!B90,Answers!B95)</f>
        <v>mehr als 3.3 m</v>
      </c>
      <c r="E275" s="555"/>
      <c r="F275" s="556"/>
      <c r="G275" s="556"/>
      <c r="H275" s="556"/>
      <c r="I275" s="556"/>
      <c r="J275" s="556"/>
      <c r="K275" s="556"/>
    </row>
    <row r="276" spans="2:11" x14ac:dyDescent="0.3">
      <c r="B276" s="205" t="str">
        <f>IF(rampsCurved=no,Answers!B91,Answers!B96)</f>
        <v>Keine Rampen</v>
      </c>
      <c r="E276" s="555"/>
      <c r="F276" s="556"/>
      <c r="G276" s="556"/>
      <c r="H276" s="556"/>
      <c r="I276" s="556"/>
      <c r="J276" s="556"/>
      <c r="K276" s="556"/>
    </row>
    <row r="277" spans="2:11" x14ac:dyDescent="0.3">
      <c r="E277" s="555"/>
      <c r="F277" s="556"/>
      <c r="G277" s="556"/>
      <c r="H277" s="556"/>
      <c r="I277" s="556"/>
      <c r="J277" s="556"/>
      <c r="K277" s="556"/>
    </row>
    <row r="278" spans="2:11" x14ac:dyDescent="0.3">
      <c r="E278" s="555"/>
      <c r="F278" s="556"/>
      <c r="G278" s="556"/>
      <c r="H278" s="556"/>
      <c r="I278" s="556"/>
      <c r="J278" s="556"/>
      <c r="K278" s="556"/>
    </row>
    <row r="279" spans="2:11" x14ac:dyDescent="0.3">
      <c r="E279" s="555"/>
      <c r="F279" s="556"/>
      <c r="G279" s="556"/>
      <c r="H279" s="556"/>
      <c r="I279" s="556"/>
      <c r="J279" s="556"/>
      <c r="K279" s="556"/>
    </row>
    <row r="280" spans="2:11" x14ac:dyDescent="0.3">
      <c r="E280" s="555"/>
      <c r="F280" s="556"/>
      <c r="G280" s="556"/>
      <c r="H280" s="556"/>
      <c r="I280" s="556"/>
      <c r="J280" s="556"/>
      <c r="K280" s="556"/>
    </row>
    <row r="281" spans="2:11" x14ac:dyDescent="0.3">
      <c r="E281" s="555"/>
      <c r="F281" s="556"/>
      <c r="G281" s="556"/>
      <c r="H281" s="556"/>
      <c r="I281" s="556"/>
      <c r="J281" s="556"/>
      <c r="K281" s="556"/>
    </row>
    <row r="282" spans="2:11" x14ac:dyDescent="0.3">
      <c r="E282" s="555"/>
      <c r="F282" s="556"/>
      <c r="G282" s="556"/>
      <c r="H282" s="556"/>
      <c r="I282" s="556"/>
      <c r="J282" s="556"/>
      <c r="K282" s="556"/>
    </row>
    <row r="283" spans="2:11" x14ac:dyDescent="0.3">
      <c r="E283" s="555"/>
      <c r="F283" s="556"/>
      <c r="G283" s="556"/>
      <c r="H283" s="556"/>
      <c r="I283" s="556"/>
      <c r="J283" s="556"/>
      <c r="K283" s="556"/>
    </row>
    <row r="284" spans="2:11" x14ac:dyDescent="0.3">
      <c r="E284" s="555"/>
      <c r="F284" s="556"/>
      <c r="G284" s="556"/>
      <c r="H284" s="556"/>
      <c r="I284" s="556"/>
      <c r="J284" s="556"/>
      <c r="K284" s="556"/>
    </row>
    <row r="285" spans="2:11" x14ac:dyDescent="0.3">
      <c r="E285" s="555"/>
      <c r="F285" s="556"/>
      <c r="G285" s="556"/>
      <c r="H285" s="556"/>
      <c r="I285" s="556"/>
      <c r="J285" s="556"/>
      <c r="K285" s="556"/>
    </row>
    <row r="286" spans="2:11" x14ac:dyDescent="0.3">
      <c r="E286" s="555"/>
      <c r="F286" s="556"/>
      <c r="G286" s="556"/>
      <c r="H286" s="556"/>
      <c r="I286" s="556"/>
      <c r="J286" s="556"/>
      <c r="K286" s="556"/>
    </row>
    <row r="287" spans="2:11" x14ac:dyDescent="0.3">
      <c r="E287" s="555"/>
      <c r="F287" s="556"/>
      <c r="G287" s="556"/>
      <c r="H287" s="556"/>
      <c r="I287" s="556"/>
      <c r="J287" s="556"/>
      <c r="K287" s="556"/>
    </row>
    <row r="288" spans="2:11" x14ac:dyDescent="0.3">
      <c r="E288" s="555"/>
      <c r="F288" s="556"/>
      <c r="G288" s="556"/>
      <c r="H288" s="556"/>
      <c r="I288" s="556"/>
      <c r="J288" s="556"/>
      <c r="K288" s="556"/>
    </row>
    <row r="289" spans="5:11" x14ac:dyDescent="0.3">
      <c r="E289" s="555"/>
      <c r="F289" s="556"/>
      <c r="G289" s="556"/>
      <c r="H289" s="556"/>
      <c r="I289" s="556"/>
      <c r="J289" s="556"/>
      <c r="K289" s="556"/>
    </row>
    <row r="290" spans="5:11" x14ac:dyDescent="0.3">
      <c r="E290" s="555"/>
      <c r="F290" s="556"/>
      <c r="G290" s="556"/>
      <c r="H290" s="556"/>
      <c r="I290" s="556"/>
      <c r="J290" s="556"/>
      <c r="K290" s="556"/>
    </row>
    <row r="291" spans="5:11" x14ac:dyDescent="0.3">
      <c r="E291" s="555"/>
      <c r="F291" s="556"/>
      <c r="G291" s="556"/>
      <c r="H291" s="556"/>
      <c r="I291" s="556"/>
      <c r="J291" s="556"/>
      <c r="K291" s="556"/>
    </row>
    <row r="292" spans="5:11" x14ac:dyDescent="0.3">
      <c r="E292" s="555"/>
      <c r="F292" s="556"/>
      <c r="G292" s="556"/>
      <c r="H292" s="556"/>
      <c r="I292" s="556"/>
      <c r="J292" s="556"/>
      <c r="K292" s="556"/>
    </row>
    <row r="293" spans="5:11" x14ac:dyDescent="0.3">
      <c r="E293" s="555"/>
      <c r="F293" s="556"/>
      <c r="G293" s="556"/>
      <c r="H293" s="556"/>
      <c r="I293" s="556"/>
      <c r="J293" s="556"/>
      <c r="K293" s="556"/>
    </row>
    <row r="294" spans="5:11" x14ac:dyDescent="0.3">
      <c r="E294" s="555"/>
      <c r="F294" s="556"/>
      <c r="G294" s="556"/>
      <c r="H294" s="556"/>
      <c r="I294" s="556"/>
      <c r="J294" s="556"/>
      <c r="K294" s="556"/>
    </row>
    <row r="295" spans="5:11" x14ac:dyDescent="0.3">
      <c r="E295" s="555"/>
      <c r="F295" s="556"/>
      <c r="G295" s="556"/>
      <c r="H295" s="556"/>
      <c r="I295" s="556"/>
      <c r="J295" s="556"/>
      <c r="K295" s="556"/>
    </row>
    <row r="296" spans="5:11" x14ac:dyDescent="0.3">
      <c r="E296" s="555"/>
      <c r="F296" s="556"/>
      <c r="G296" s="556"/>
      <c r="H296" s="556"/>
      <c r="I296" s="556"/>
      <c r="J296" s="556"/>
      <c r="K296" s="556"/>
    </row>
    <row r="297" spans="5:11" x14ac:dyDescent="0.3">
      <c r="E297" s="555"/>
      <c r="F297" s="556"/>
      <c r="G297" s="556"/>
      <c r="H297" s="556"/>
      <c r="I297" s="556"/>
      <c r="J297" s="556"/>
      <c r="K297" s="556"/>
    </row>
    <row r="298" spans="5:11" x14ac:dyDescent="0.3">
      <c r="E298" s="555"/>
      <c r="F298" s="556"/>
      <c r="G298" s="556"/>
      <c r="H298" s="556"/>
      <c r="I298" s="556"/>
      <c r="J298" s="556"/>
      <c r="K298" s="556"/>
    </row>
    <row r="299" spans="5:11" x14ac:dyDescent="0.3">
      <c r="E299" s="555"/>
      <c r="F299" s="556"/>
      <c r="G299" s="556"/>
      <c r="H299" s="556"/>
      <c r="I299" s="556"/>
      <c r="J299" s="556"/>
      <c r="K299" s="556"/>
    </row>
    <row r="300" spans="5:11" x14ac:dyDescent="0.3">
      <c r="E300" s="555"/>
      <c r="F300" s="556"/>
      <c r="G300" s="556"/>
      <c r="H300" s="556"/>
      <c r="I300" s="556"/>
      <c r="J300" s="556"/>
      <c r="K300" s="556"/>
    </row>
    <row r="301" spans="5:11" x14ac:dyDescent="0.3">
      <c r="E301" s="555"/>
      <c r="F301" s="556"/>
      <c r="G301" s="556"/>
      <c r="H301" s="556"/>
      <c r="I301" s="556"/>
      <c r="J301" s="556"/>
      <c r="K301" s="556"/>
    </row>
    <row r="302" spans="5:11" x14ac:dyDescent="0.3">
      <c r="E302" s="555"/>
      <c r="F302" s="556"/>
      <c r="G302" s="556"/>
      <c r="H302" s="556"/>
      <c r="I302" s="556"/>
      <c r="J302" s="556"/>
      <c r="K302" s="556"/>
    </row>
    <row r="303" spans="5:11" x14ac:dyDescent="0.3">
      <c r="E303" s="555"/>
      <c r="F303" s="556"/>
      <c r="G303" s="556"/>
      <c r="H303" s="556"/>
      <c r="I303" s="556"/>
      <c r="J303" s="556"/>
      <c r="K303" s="556"/>
    </row>
    <row r="304" spans="5:11" x14ac:dyDescent="0.3">
      <c r="E304" s="555"/>
      <c r="F304" s="556"/>
      <c r="G304" s="556"/>
      <c r="H304" s="556"/>
      <c r="I304" s="556"/>
      <c r="J304" s="556"/>
      <c r="K304" s="556"/>
    </row>
    <row r="305" spans="5:11" x14ac:dyDescent="0.3">
      <c r="E305" s="555"/>
      <c r="F305" s="556"/>
      <c r="G305" s="556"/>
      <c r="H305" s="556"/>
      <c r="I305" s="556"/>
      <c r="J305" s="556"/>
      <c r="K305" s="556"/>
    </row>
    <row r="306" spans="5:11" x14ac:dyDescent="0.3">
      <c r="E306" s="555"/>
      <c r="F306" s="556"/>
      <c r="G306" s="556"/>
      <c r="H306" s="556"/>
      <c r="I306" s="556"/>
      <c r="J306" s="556"/>
      <c r="K306" s="556"/>
    </row>
    <row r="307" spans="5:11" x14ac:dyDescent="0.3">
      <c r="E307" s="555"/>
      <c r="F307" s="556"/>
      <c r="G307" s="556"/>
      <c r="H307" s="556"/>
      <c r="I307" s="556"/>
      <c r="J307" s="556"/>
      <c r="K307" s="556"/>
    </row>
    <row r="308" spans="5:11" x14ac:dyDescent="0.3">
      <c r="E308" s="555"/>
      <c r="F308" s="556"/>
      <c r="G308" s="556"/>
      <c r="H308" s="556"/>
      <c r="I308" s="556"/>
      <c r="J308" s="556"/>
      <c r="K308" s="556"/>
    </row>
    <row r="309" spans="5:11" x14ac:dyDescent="0.3">
      <c r="E309" s="555"/>
      <c r="F309" s="556"/>
      <c r="G309" s="556"/>
      <c r="H309" s="556"/>
      <c r="I309" s="556"/>
      <c r="J309" s="556"/>
      <c r="K309" s="556"/>
    </row>
    <row r="310" spans="5:11" x14ac:dyDescent="0.3">
      <c r="E310" s="555"/>
      <c r="F310" s="556"/>
      <c r="G310" s="556"/>
      <c r="H310" s="556"/>
      <c r="I310" s="556"/>
      <c r="J310" s="556"/>
      <c r="K310" s="556"/>
    </row>
    <row r="311" spans="5:11" x14ac:dyDescent="0.3">
      <c r="E311" s="555"/>
      <c r="F311" s="556"/>
      <c r="G311" s="556"/>
      <c r="H311" s="556"/>
      <c r="I311" s="556"/>
      <c r="J311" s="556"/>
      <c r="K311" s="556"/>
    </row>
    <row r="312" spans="5:11" x14ac:dyDescent="0.3">
      <c r="E312" s="555"/>
      <c r="F312" s="556"/>
      <c r="G312" s="556"/>
      <c r="H312" s="556"/>
      <c r="I312" s="556"/>
      <c r="J312" s="556"/>
      <c r="K312" s="556"/>
    </row>
    <row r="313" spans="5:11" x14ac:dyDescent="0.3">
      <c r="E313" s="555"/>
      <c r="F313" s="556"/>
      <c r="G313" s="556"/>
      <c r="H313" s="556"/>
      <c r="I313" s="556"/>
      <c r="J313" s="556"/>
      <c r="K313" s="556"/>
    </row>
    <row r="314" spans="5:11" x14ac:dyDescent="0.3">
      <c r="E314" s="555"/>
      <c r="F314" s="556"/>
      <c r="G314" s="556"/>
      <c r="H314" s="556"/>
      <c r="I314" s="556"/>
      <c r="J314" s="556"/>
      <c r="K314" s="556"/>
    </row>
    <row r="315" spans="5:11" x14ac:dyDescent="0.3">
      <c r="E315" s="555"/>
      <c r="F315" s="556"/>
      <c r="G315" s="556"/>
      <c r="H315" s="556"/>
      <c r="I315" s="556"/>
      <c r="J315" s="556"/>
      <c r="K315" s="556"/>
    </row>
    <row r="316" spans="5:11" x14ac:dyDescent="0.3">
      <c r="E316" s="555"/>
      <c r="F316" s="556"/>
      <c r="G316" s="556"/>
      <c r="H316" s="556"/>
      <c r="I316" s="556"/>
      <c r="J316" s="556"/>
      <c r="K316" s="556"/>
    </row>
    <row r="317" spans="5:11" x14ac:dyDescent="0.3">
      <c r="E317" s="555"/>
      <c r="F317" s="556"/>
      <c r="G317" s="556"/>
      <c r="H317" s="556"/>
      <c r="I317" s="556"/>
      <c r="J317" s="556"/>
      <c r="K317" s="556"/>
    </row>
    <row r="318" spans="5:11" x14ac:dyDescent="0.3">
      <c r="E318" s="555"/>
      <c r="F318" s="556"/>
      <c r="G318" s="556"/>
      <c r="H318" s="556"/>
      <c r="I318" s="556"/>
      <c r="J318" s="556"/>
      <c r="K318" s="556"/>
    </row>
    <row r="319" spans="5:11" x14ac:dyDescent="0.3">
      <c r="E319" s="555"/>
      <c r="F319" s="556"/>
      <c r="G319" s="556"/>
      <c r="H319" s="556"/>
      <c r="I319" s="556"/>
      <c r="J319" s="556"/>
      <c r="K319" s="556"/>
    </row>
    <row r="320" spans="5:11" x14ac:dyDescent="0.3">
      <c r="E320" s="555"/>
      <c r="F320" s="556"/>
      <c r="G320" s="556"/>
      <c r="H320" s="556"/>
      <c r="I320" s="556"/>
      <c r="J320" s="556"/>
      <c r="K320" s="556"/>
    </row>
    <row r="321" spans="5:11" x14ac:dyDescent="0.3">
      <c r="E321" s="555"/>
      <c r="F321" s="556"/>
      <c r="G321" s="556"/>
      <c r="H321" s="556"/>
      <c r="I321" s="556"/>
      <c r="J321" s="556"/>
      <c r="K321" s="556"/>
    </row>
    <row r="322" spans="5:11" x14ac:dyDescent="0.3">
      <c r="E322" s="555"/>
      <c r="F322" s="556"/>
      <c r="G322" s="556"/>
      <c r="H322" s="556"/>
      <c r="I322" s="556"/>
      <c r="J322" s="556"/>
      <c r="K322" s="556"/>
    </row>
    <row r="323" spans="5:11" x14ac:dyDescent="0.3">
      <c r="E323" s="555"/>
      <c r="F323" s="556"/>
      <c r="G323" s="556"/>
      <c r="H323" s="556"/>
      <c r="I323" s="556"/>
      <c r="J323" s="556"/>
      <c r="K323" s="556"/>
    </row>
    <row r="324" spans="5:11" x14ac:dyDescent="0.3">
      <c r="E324" s="555"/>
      <c r="F324" s="556"/>
      <c r="G324" s="556"/>
      <c r="H324" s="556"/>
      <c r="I324" s="556"/>
      <c r="J324" s="556"/>
      <c r="K324" s="556"/>
    </row>
    <row r="325" spans="5:11" x14ac:dyDescent="0.3">
      <c r="E325" s="555"/>
      <c r="F325" s="556"/>
      <c r="G325" s="556"/>
      <c r="H325" s="556"/>
      <c r="I325" s="556"/>
      <c r="J325" s="556"/>
      <c r="K325" s="556"/>
    </row>
    <row r="326" spans="5:11" x14ac:dyDescent="0.35">
      <c r="E326" s="555"/>
    </row>
    <row r="327" spans="5:11" x14ac:dyDescent="0.35">
      <c r="E327" s="555"/>
    </row>
    <row r="328" spans="5:11" x14ac:dyDescent="0.35">
      <c r="E328" s="555"/>
    </row>
    <row r="329" spans="5:11" x14ac:dyDescent="0.35">
      <c r="E329" s="555"/>
    </row>
    <row r="330" spans="5:11" x14ac:dyDescent="0.35">
      <c r="E330" s="555"/>
    </row>
    <row r="331" spans="5:11" x14ac:dyDescent="0.35">
      <c r="E331" s="555"/>
    </row>
    <row r="332" spans="5:11" x14ac:dyDescent="0.35">
      <c r="E332" s="555"/>
    </row>
  </sheetData>
  <sheetProtection formatRows="0" selectLockedCells="1"/>
  <pageMargins left="0.75" right="0.75" top="1" bottom="1" header="0.5" footer="0.5"/>
  <pageSetup paperSize="9" orientation="portrait"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M614"/>
  <sheetViews>
    <sheetView topLeftCell="E1" workbookViewId="0">
      <selection activeCell="N153" sqref="N153"/>
    </sheetView>
  </sheetViews>
  <sheetFormatPr baseColWidth="10" defaultColWidth="10.81640625" defaultRowHeight="14.5" x14ac:dyDescent="0.35"/>
  <cols>
    <col min="1" max="1" width="9.453125" style="4" customWidth="1"/>
    <col min="2" max="2" width="51.81640625" style="4" customWidth="1"/>
    <col min="3" max="3" width="7.26953125" style="4" customWidth="1"/>
    <col min="4" max="11" width="63" style="4" customWidth="1"/>
    <col min="12" max="16384" width="10.81640625" style="4"/>
  </cols>
  <sheetData>
    <row r="1" spans="1:13" ht="26.5" thickBot="1" x14ac:dyDescent="0.4">
      <c r="A1" s="112">
        <f>'Languages Available'!B1</f>
        <v>4</v>
      </c>
      <c r="B1" s="126" t="s">
        <v>1318</v>
      </c>
      <c r="C1" s="127"/>
      <c r="D1" s="111" t="str">
        <f>'General Info'!C4</f>
        <v>Deutsch</v>
      </c>
    </row>
    <row r="2" spans="1:13" x14ac:dyDescent="0.35">
      <c r="D2" s="4">
        <v>1</v>
      </c>
      <c r="E2" s="4">
        <v>2</v>
      </c>
      <c r="F2" s="4">
        <v>3</v>
      </c>
      <c r="G2" s="4">
        <v>4</v>
      </c>
      <c r="H2" s="4">
        <v>5</v>
      </c>
      <c r="I2" s="4">
        <v>6</v>
      </c>
      <c r="J2" s="4">
        <v>7</v>
      </c>
      <c r="K2" s="4">
        <v>8</v>
      </c>
    </row>
    <row r="3" spans="1:13" ht="21" x14ac:dyDescent="0.35">
      <c r="B3" s="114" t="s">
        <v>1316</v>
      </c>
      <c r="C3" s="113"/>
      <c r="D3" s="125" t="str">
        <f>VLOOKUP(D2,'Languages Available'!$A$3:$B$23,2)</f>
        <v>English</v>
      </c>
      <c r="E3" s="125" t="str">
        <f>VLOOKUP(E2,'Languages Available'!$A$3:$B$23,2)</f>
        <v>Dutch</v>
      </c>
      <c r="F3" s="125" t="str">
        <f>VLOOKUP(F2,'Languages Available'!$A$3:$B$23,2)</f>
        <v>Français</v>
      </c>
      <c r="G3" s="125" t="str">
        <f>VLOOKUP(G2,'Languages Available'!$A$3:$B$23,2)</f>
        <v>Deutsch</v>
      </c>
      <c r="H3" s="125" t="str">
        <f>VLOOKUP(H2,'Languages Available'!$A$3:$B$23,2)</f>
        <v>Portuguese</v>
      </c>
      <c r="I3" s="125" t="str">
        <f>VLOOKUP(I2,'Languages Available'!$A$3:$B$23,2)</f>
        <v>Turkish</v>
      </c>
      <c r="J3" s="125" t="str">
        <f>VLOOKUP(J2,'Languages Available'!$A$3:$B$23,2)</f>
        <v>Polish</v>
      </c>
      <c r="K3" s="125" t="str">
        <f>VLOOKUP(K2,'Languages Available'!$A$3:$B$23,2)</f>
        <v>Italian</v>
      </c>
    </row>
    <row r="4" spans="1:13" ht="15.5" x14ac:dyDescent="0.35">
      <c r="A4" s="208">
        <f t="shared" ref="A4:A20" si="0">C4</f>
        <v>1</v>
      </c>
      <c r="B4" s="209" t="str">
        <f ca="1">OFFSET(C4,0,$A$1)</f>
        <v>Datum</v>
      </c>
      <c r="C4" s="210">
        <v>1</v>
      </c>
      <c r="D4" s="209" t="s">
        <v>445</v>
      </c>
      <c r="E4" s="209" t="s">
        <v>542</v>
      </c>
      <c r="F4" s="209" t="s">
        <v>445</v>
      </c>
      <c r="G4" s="209" t="s">
        <v>542</v>
      </c>
      <c r="H4" s="211" t="s">
        <v>2434</v>
      </c>
      <c r="I4" s="211" t="s">
        <v>3949</v>
      </c>
      <c r="J4" s="578" t="s">
        <v>2434</v>
      </c>
      <c r="K4" s="578" t="s">
        <v>2434</v>
      </c>
      <c r="L4" s="211"/>
      <c r="M4" s="209"/>
    </row>
    <row r="5" spans="1:13" ht="15.5" x14ac:dyDescent="0.35">
      <c r="A5" s="208">
        <f t="shared" si="0"/>
        <v>2</v>
      </c>
      <c r="B5" s="212" t="str">
        <f t="shared" ref="B5:B68" ca="1" si="1">OFFSET(C5,0,$A$1)</f>
        <v>Sprache</v>
      </c>
      <c r="C5" s="210">
        <v>2</v>
      </c>
      <c r="D5" s="212" t="s">
        <v>442</v>
      </c>
      <c r="E5" s="212" t="s">
        <v>541</v>
      </c>
      <c r="F5" s="212" t="s">
        <v>897</v>
      </c>
      <c r="G5" s="212" t="s">
        <v>1701</v>
      </c>
      <c r="H5" s="165" t="s">
        <v>2435</v>
      </c>
      <c r="I5" s="165" t="s">
        <v>3950</v>
      </c>
      <c r="J5" s="579" t="s">
        <v>4465</v>
      </c>
      <c r="K5" s="579" t="s">
        <v>5113</v>
      </c>
      <c r="L5" s="165"/>
      <c r="M5" s="212"/>
    </row>
    <row r="6" spans="1:13" ht="15.5" x14ac:dyDescent="0.35">
      <c r="A6" s="208">
        <f t="shared" si="0"/>
        <v>3</v>
      </c>
      <c r="B6" s="212" t="str">
        <f t="shared" ca="1" si="1"/>
        <v>Land</v>
      </c>
      <c r="C6" s="210">
        <v>3</v>
      </c>
      <c r="D6" s="212" t="s">
        <v>440</v>
      </c>
      <c r="E6" s="212" t="s">
        <v>543</v>
      </c>
      <c r="F6" s="212" t="s">
        <v>898</v>
      </c>
      <c r="G6" s="212" t="s">
        <v>543</v>
      </c>
      <c r="H6" s="165" t="s">
        <v>2088</v>
      </c>
      <c r="I6" s="165" t="s">
        <v>3951</v>
      </c>
      <c r="J6" s="579" t="s">
        <v>4466</v>
      </c>
      <c r="K6" s="579" t="s">
        <v>5114</v>
      </c>
      <c r="L6" s="165"/>
      <c r="M6" s="212"/>
    </row>
    <row r="7" spans="1:13" ht="15.5" x14ac:dyDescent="0.35">
      <c r="A7" s="208">
        <f t="shared" si="0"/>
        <v>4</v>
      </c>
      <c r="B7" s="212" t="str">
        <f t="shared" ca="1" si="1"/>
        <v>Name der Parkeinrichtung</v>
      </c>
      <c r="C7" s="210">
        <v>4</v>
      </c>
      <c r="D7" s="212" t="s">
        <v>441</v>
      </c>
      <c r="E7" s="212" t="s">
        <v>544</v>
      </c>
      <c r="F7" s="212" t="s">
        <v>899</v>
      </c>
      <c r="G7" s="212" t="s">
        <v>5317</v>
      </c>
      <c r="H7" s="165" t="s">
        <v>2491</v>
      </c>
      <c r="I7" s="165" t="s">
        <v>3952</v>
      </c>
      <c r="J7" s="579" t="s">
        <v>4467</v>
      </c>
      <c r="K7" s="579" t="s">
        <v>5115</v>
      </c>
      <c r="L7" s="165"/>
      <c r="M7" s="212"/>
    </row>
    <row r="8" spans="1:13" ht="15.5" x14ac:dyDescent="0.35">
      <c r="A8" s="208">
        <f t="shared" si="0"/>
        <v>5</v>
      </c>
      <c r="B8" s="212" t="str">
        <f t="shared" ca="1" si="1"/>
        <v>Adresse</v>
      </c>
      <c r="C8" s="210">
        <v>5</v>
      </c>
      <c r="D8" s="212" t="s">
        <v>444</v>
      </c>
      <c r="E8" s="212" t="s">
        <v>545</v>
      </c>
      <c r="F8" s="212" t="s">
        <v>900</v>
      </c>
      <c r="G8" s="212" t="s">
        <v>900</v>
      </c>
      <c r="H8" s="165" t="s">
        <v>2436</v>
      </c>
      <c r="I8" s="165" t="s">
        <v>545</v>
      </c>
      <c r="J8" s="579" t="s">
        <v>545</v>
      </c>
      <c r="K8" s="579" t="s">
        <v>5116</v>
      </c>
      <c r="L8" s="165"/>
      <c r="M8" s="212"/>
    </row>
    <row r="9" spans="1:13" ht="15.5" x14ac:dyDescent="0.35">
      <c r="A9" s="208">
        <f t="shared" si="0"/>
        <v>6</v>
      </c>
      <c r="B9" s="212" t="str">
        <f t="shared" ca="1" si="1"/>
        <v>Stadt</v>
      </c>
      <c r="C9" s="210">
        <v>6</v>
      </c>
      <c r="D9" s="212" t="s">
        <v>0</v>
      </c>
      <c r="E9" s="212" t="s">
        <v>546</v>
      </c>
      <c r="F9" s="212" t="s">
        <v>901</v>
      </c>
      <c r="G9" s="212" t="s">
        <v>1703</v>
      </c>
      <c r="H9" s="165" t="s">
        <v>2437</v>
      </c>
      <c r="I9" s="165" t="s">
        <v>3953</v>
      </c>
      <c r="J9" s="579" t="s">
        <v>4468</v>
      </c>
      <c r="K9" s="579" t="s">
        <v>5117</v>
      </c>
      <c r="L9" s="165"/>
      <c r="M9" s="212"/>
    </row>
    <row r="10" spans="1:13" ht="15.5" x14ac:dyDescent="0.35">
      <c r="A10" s="208">
        <f t="shared" si="0"/>
        <v>7</v>
      </c>
      <c r="B10" s="212" t="str">
        <f t="shared" ca="1" si="1"/>
        <v>Anzahl der Stellplätze</v>
      </c>
      <c r="C10" s="210">
        <v>7</v>
      </c>
      <c r="D10" s="212" t="s">
        <v>446</v>
      </c>
      <c r="E10" s="212" t="s">
        <v>547</v>
      </c>
      <c r="F10" s="212" t="s">
        <v>902</v>
      </c>
      <c r="G10" s="212" t="s">
        <v>1704</v>
      </c>
      <c r="H10" s="165" t="s">
        <v>2438</v>
      </c>
      <c r="I10" s="165" t="s">
        <v>3954</v>
      </c>
      <c r="J10" s="579" t="s">
        <v>4469</v>
      </c>
      <c r="K10" s="579" t="s">
        <v>5118</v>
      </c>
      <c r="L10" s="165"/>
      <c r="M10" s="212"/>
    </row>
    <row r="11" spans="1:13" ht="15.5" x14ac:dyDescent="0.35">
      <c r="A11" s="208">
        <f t="shared" si="0"/>
        <v>8</v>
      </c>
      <c r="B11" s="212" t="str">
        <f t="shared" ca="1" si="1"/>
        <v>Betreiber</v>
      </c>
      <c r="C11" s="210">
        <v>8</v>
      </c>
      <c r="D11" s="212" t="s">
        <v>447</v>
      </c>
      <c r="E11" s="212" t="s">
        <v>548</v>
      </c>
      <c r="F11" s="212" t="s">
        <v>548</v>
      </c>
      <c r="G11" s="212" t="s">
        <v>1705</v>
      </c>
      <c r="H11" s="165" t="s">
        <v>2087</v>
      </c>
      <c r="I11" s="165" t="s">
        <v>3955</v>
      </c>
      <c r="J11" s="579" t="s">
        <v>447</v>
      </c>
      <c r="K11" s="579" t="s">
        <v>5119</v>
      </c>
      <c r="L11" s="165"/>
      <c r="M11" s="212"/>
    </row>
    <row r="12" spans="1:13" ht="15.5" x14ac:dyDescent="0.35">
      <c r="A12" s="208">
        <f t="shared" si="0"/>
        <v>9</v>
      </c>
      <c r="B12" s="212" t="str">
        <f t="shared" ca="1" si="1"/>
        <v>Kontaktperson</v>
      </c>
      <c r="C12" s="210">
        <v>9</v>
      </c>
      <c r="D12" s="212" t="s">
        <v>448</v>
      </c>
      <c r="E12" s="212" t="s">
        <v>549</v>
      </c>
      <c r="F12" s="212" t="s">
        <v>903</v>
      </c>
      <c r="G12" s="212" t="s">
        <v>1706</v>
      </c>
      <c r="H12" s="165" t="s">
        <v>2472</v>
      </c>
      <c r="I12" s="165" t="s">
        <v>3956</v>
      </c>
      <c r="J12" s="579" t="s">
        <v>4470</v>
      </c>
      <c r="K12" s="579" t="s">
        <v>5120</v>
      </c>
      <c r="L12" s="165"/>
      <c r="M12" s="212"/>
    </row>
    <row r="13" spans="1:13" ht="15.5" x14ac:dyDescent="0.35">
      <c r="A13" s="208">
        <f t="shared" si="0"/>
        <v>10</v>
      </c>
      <c r="B13" s="212" t="str">
        <f t="shared" ca="1" si="1"/>
        <v>E-Mail</v>
      </c>
      <c r="C13" s="210">
        <v>10</v>
      </c>
      <c r="D13" s="212" t="s">
        <v>449</v>
      </c>
      <c r="E13" s="212" t="s">
        <v>550</v>
      </c>
      <c r="F13" s="212" t="s">
        <v>550</v>
      </c>
      <c r="G13" s="212" t="s">
        <v>5318</v>
      </c>
      <c r="H13" s="165" t="s">
        <v>2439</v>
      </c>
      <c r="I13" s="165" t="s">
        <v>3957</v>
      </c>
      <c r="J13" s="579" t="s">
        <v>449</v>
      </c>
      <c r="K13" s="579" t="s">
        <v>550</v>
      </c>
      <c r="L13" s="165"/>
      <c r="M13" s="212"/>
    </row>
    <row r="14" spans="1:13" ht="15.5" x14ac:dyDescent="0.35">
      <c r="A14" s="208">
        <f t="shared" si="0"/>
        <v>11</v>
      </c>
      <c r="B14" s="212" t="str">
        <f t="shared" ca="1" si="1"/>
        <v>Telefon</v>
      </c>
      <c r="C14" s="210">
        <v>11</v>
      </c>
      <c r="D14" s="212" t="s">
        <v>450</v>
      </c>
      <c r="E14" s="212" t="s">
        <v>551</v>
      </c>
      <c r="F14" s="212" t="s">
        <v>905</v>
      </c>
      <c r="G14" s="212" t="s">
        <v>1707</v>
      </c>
      <c r="H14" s="165" t="s">
        <v>2440</v>
      </c>
      <c r="I14" s="165" t="s">
        <v>1707</v>
      </c>
      <c r="J14" s="579" t="s">
        <v>1707</v>
      </c>
      <c r="K14" s="579" t="s">
        <v>5121</v>
      </c>
      <c r="L14" s="165"/>
      <c r="M14" s="212"/>
    </row>
    <row r="15" spans="1:13" ht="15.5" x14ac:dyDescent="0.35">
      <c r="A15" s="208">
        <f t="shared" si="0"/>
        <v>12</v>
      </c>
      <c r="B15" s="212" t="str">
        <f t="shared" ca="1" si="1"/>
        <v>Geprüft von</v>
      </c>
      <c r="C15" s="210">
        <v>12</v>
      </c>
      <c r="D15" s="212" t="s">
        <v>451</v>
      </c>
      <c r="E15" s="212" t="s">
        <v>552</v>
      </c>
      <c r="F15" s="212" t="s">
        <v>906</v>
      </c>
      <c r="G15" s="212" t="s">
        <v>1708</v>
      </c>
      <c r="H15" s="165" t="s">
        <v>2441</v>
      </c>
      <c r="I15" s="165" t="s">
        <v>3958</v>
      </c>
      <c r="J15" s="579" t="s">
        <v>4471</v>
      </c>
      <c r="K15" s="579" t="s">
        <v>5122</v>
      </c>
      <c r="L15" s="165"/>
      <c r="M15" s="212"/>
    </row>
    <row r="16" spans="1:13" ht="15.5" x14ac:dyDescent="0.35">
      <c r="A16" s="208">
        <f t="shared" si="0"/>
        <v>13</v>
      </c>
      <c r="B16" s="212" t="str">
        <f t="shared" ca="1" si="1"/>
        <v>Prüfbedingungen</v>
      </c>
      <c r="C16" s="210">
        <v>13</v>
      </c>
      <c r="D16" s="212" t="s">
        <v>452</v>
      </c>
      <c r="E16" s="212" t="s">
        <v>553</v>
      </c>
      <c r="F16" s="212" t="s">
        <v>907</v>
      </c>
      <c r="G16" s="212" t="s">
        <v>1709</v>
      </c>
      <c r="H16" s="165" t="s">
        <v>2442</v>
      </c>
      <c r="I16" s="165" t="s">
        <v>3959</v>
      </c>
      <c r="J16" s="579" t="s">
        <v>4472</v>
      </c>
      <c r="K16" s="579" t="s">
        <v>5123</v>
      </c>
      <c r="L16" s="165"/>
      <c r="M16" s="212"/>
    </row>
    <row r="17" spans="1:13" ht="15.5" x14ac:dyDescent="0.35">
      <c r="A17" s="208">
        <f t="shared" si="0"/>
        <v>14</v>
      </c>
      <c r="B17" s="212" t="str">
        <f t="shared" ca="1" si="1"/>
        <v>Tageszeit</v>
      </c>
      <c r="C17" s="210">
        <v>14</v>
      </c>
      <c r="D17" s="212" t="s">
        <v>453</v>
      </c>
      <c r="E17" s="212" t="s">
        <v>554</v>
      </c>
      <c r="F17" s="212" t="s">
        <v>908</v>
      </c>
      <c r="G17" s="212" t="s">
        <v>1710</v>
      </c>
      <c r="H17" s="165" t="s">
        <v>2473</v>
      </c>
      <c r="I17" s="165" t="s">
        <v>3960</v>
      </c>
      <c r="J17" s="579" t="s">
        <v>4473</v>
      </c>
      <c r="K17" s="579" t="s">
        <v>5124</v>
      </c>
      <c r="L17" s="165"/>
      <c r="M17" s="212"/>
    </row>
    <row r="18" spans="1:13" ht="15.5" x14ac:dyDescent="0.35">
      <c r="A18" s="208">
        <f t="shared" si="0"/>
        <v>15</v>
      </c>
      <c r="B18" s="212" t="str">
        <f t="shared" ca="1" si="1"/>
        <v>Wetterbedingungen</v>
      </c>
      <c r="C18" s="210">
        <v>15</v>
      </c>
      <c r="D18" s="212" t="s">
        <v>454</v>
      </c>
      <c r="E18" s="212" t="s">
        <v>555</v>
      </c>
      <c r="F18" s="212" t="s">
        <v>909</v>
      </c>
      <c r="G18" s="212" t="s">
        <v>1711</v>
      </c>
      <c r="H18" s="165" t="s">
        <v>2443</v>
      </c>
      <c r="I18" s="165" t="s">
        <v>3961</v>
      </c>
      <c r="J18" s="579" t="s">
        <v>4474</v>
      </c>
      <c r="K18" s="579" t="s">
        <v>5125</v>
      </c>
      <c r="L18" s="165"/>
      <c r="M18" s="212"/>
    </row>
    <row r="19" spans="1:13" ht="15.5" x14ac:dyDescent="0.35">
      <c r="A19" s="208">
        <f t="shared" si="0"/>
        <v>16</v>
      </c>
      <c r="B19" s="212" t="str">
        <f t="shared" ca="1" si="1"/>
        <v>Auslastung</v>
      </c>
      <c r="C19" s="210">
        <v>16</v>
      </c>
      <c r="D19" s="212" t="s">
        <v>455</v>
      </c>
      <c r="E19" s="212" t="s">
        <v>556</v>
      </c>
      <c r="F19" s="212" t="s">
        <v>910</v>
      </c>
      <c r="G19" s="212" t="s">
        <v>1712</v>
      </c>
      <c r="H19" s="165" t="s">
        <v>2444</v>
      </c>
      <c r="I19" s="165" t="s">
        <v>3962</v>
      </c>
      <c r="J19" s="579" t="s">
        <v>4475</v>
      </c>
      <c r="K19" s="579" t="s">
        <v>5126</v>
      </c>
      <c r="L19" s="165"/>
      <c r="M19" s="212"/>
    </row>
    <row r="20" spans="1:13" ht="15.5" x14ac:dyDescent="0.35">
      <c r="A20" s="208">
        <f t="shared" si="0"/>
        <v>17</v>
      </c>
      <c r="B20" s="212" t="str">
        <f t="shared" ca="1" si="1"/>
        <v>vollständig</v>
      </c>
      <c r="C20" s="210">
        <v>17</v>
      </c>
      <c r="D20" s="212" t="s">
        <v>469</v>
      </c>
      <c r="E20" s="212" t="s">
        <v>867</v>
      </c>
      <c r="F20" s="212" t="s">
        <v>1254</v>
      </c>
      <c r="G20" s="212" t="s">
        <v>1665</v>
      </c>
      <c r="H20" s="165" t="s">
        <v>2086</v>
      </c>
      <c r="I20" s="165" t="s">
        <v>3963</v>
      </c>
      <c r="J20" s="579" t="s">
        <v>4476</v>
      </c>
      <c r="K20" s="579" t="s">
        <v>5127</v>
      </c>
      <c r="L20" s="165"/>
      <c r="M20" s="212"/>
    </row>
    <row r="21" spans="1:13" ht="15.5" x14ac:dyDescent="0.35">
      <c r="A21" s="208">
        <f t="shared" ref="A21:A79" si="2">C21</f>
        <v>18</v>
      </c>
      <c r="B21" s="212" t="str">
        <f t="shared" ca="1" si="1"/>
        <v>unvollständig</v>
      </c>
      <c r="C21" s="210">
        <v>18</v>
      </c>
      <c r="D21" s="212" t="s">
        <v>470</v>
      </c>
      <c r="E21" s="212" t="s">
        <v>868</v>
      </c>
      <c r="F21" s="212" t="s">
        <v>1255</v>
      </c>
      <c r="G21" s="212" t="s">
        <v>1666</v>
      </c>
      <c r="H21" s="165" t="s">
        <v>2085</v>
      </c>
      <c r="I21" s="165" t="s">
        <v>3964</v>
      </c>
      <c r="J21" s="579" t="s">
        <v>4477</v>
      </c>
      <c r="K21" s="579" t="s">
        <v>2085</v>
      </c>
      <c r="L21" s="165"/>
      <c r="M21" s="212"/>
    </row>
    <row r="22" spans="1:13" ht="15.5" x14ac:dyDescent="0.35">
      <c r="A22" s="208">
        <f t="shared" si="2"/>
        <v>19</v>
      </c>
      <c r="B22" s="212" t="str">
        <f t="shared" ca="1" si="1"/>
        <v>übereinstimmend</v>
      </c>
      <c r="C22" s="210">
        <v>19</v>
      </c>
      <c r="D22" s="212" t="s">
        <v>1</v>
      </c>
      <c r="E22" s="212" t="s">
        <v>789</v>
      </c>
      <c r="F22" s="212" t="s">
        <v>1256</v>
      </c>
      <c r="G22" s="212" t="s">
        <v>1667</v>
      </c>
      <c r="H22" s="165" t="s">
        <v>1256</v>
      </c>
      <c r="I22" s="165" t="s">
        <v>3965</v>
      </c>
      <c r="J22" s="579" t="s">
        <v>4478</v>
      </c>
      <c r="K22" s="579" t="s">
        <v>1256</v>
      </c>
      <c r="L22" s="165"/>
      <c r="M22" s="212"/>
    </row>
    <row r="23" spans="1:13" ht="15.5" x14ac:dyDescent="0.35">
      <c r="A23" s="208">
        <f t="shared" si="2"/>
        <v>20</v>
      </c>
      <c r="B23" s="212" t="str">
        <f t="shared" ca="1" si="1"/>
        <v>Kommentare</v>
      </c>
      <c r="C23" s="210">
        <v>20</v>
      </c>
      <c r="D23" s="212" t="s">
        <v>471</v>
      </c>
      <c r="E23" s="212" t="s">
        <v>869</v>
      </c>
      <c r="F23" s="212" t="s">
        <v>1257</v>
      </c>
      <c r="G23" s="212" t="s">
        <v>1668</v>
      </c>
      <c r="H23" s="165" t="s">
        <v>2445</v>
      </c>
      <c r="I23" s="165" t="s">
        <v>3966</v>
      </c>
      <c r="J23" s="579" t="s">
        <v>4479</v>
      </c>
      <c r="K23" s="579" t="s">
        <v>5128</v>
      </c>
      <c r="L23" s="165"/>
      <c r="M23" s="212"/>
    </row>
    <row r="24" spans="1:13" ht="15.5" x14ac:dyDescent="0.35">
      <c r="A24" s="208">
        <f t="shared" si="2"/>
        <v>21</v>
      </c>
      <c r="B24" s="212" t="str">
        <f t="shared" ca="1" si="1"/>
        <v>Anzahl von Übereinstimmungen</v>
      </c>
      <c r="C24" s="210">
        <v>21</v>
      </c>
      <c r="D24" s="212" t="s">
        <v>2688</v>
      </c>
      <c r="E24" s="212" t="s">
        <v>870</v>
      </c>
      <c r="F24" s="212" t="s">
        <v>1258</v>
      </c>
      <c r="G24" s="212" t="s">
        <v>1669</v>
      </c>
      <c r="H24" s="165" t="s">
        <v>2446</v>
      </c>
      <c r="I24" s="165" t="s">
        <v>4021</v>
      </c>
      <c r="J24" s="579" t="s">
        <v>2688</v>
      </c>
      <c r="K24" s="579" t="s">
        <v>5129</v>
      </c>
      <c r="L24" s="165"/>
      <c r="M24" s="212"/>
    </row>
    <row r="25" spans="1:13" ht="15.5" x14ac:dyDescent="0.35">
      <c r="A25" s="208">
        <f t="shared" si="2"/>
        <v>22</v>
      </c>
      <c r="B25" s="212" t="str">
        <f t="shared" ca="1" si="1"/>
        <v>Anzahl von Mängeln</v>
      </c>
      <c r="C25" s="210">
        <v>22</v>
      </c>
      <c r="D25" s="212" t="s">
        <v>2687</v>
      </c>
      <c r="E25" s="212" t="s">
        <v>871</v>
      </c>
      <c r="F25" s="212" t="s">
        <v>1259</v>
      </c>
      <c r="G25" s="212" t="s">
        <v>1670</v>
      </c>
      <c r="H25" s="165" t="s">
        <v>2447</v>
      </c>
      <c r="I25" s="165" t="s">
        <v>3967</v>
      </c>
      <c r="J25" s="579" t="s">
        <v>4480</v>
      </c>
      <c r="K25" s="579" t="s">
        <v>5130</v>
      </c>
      <c r="L25" s="165"/>
      <c r="M25" s="212"/>
    </row>
    <row r="26" spans="1:13" ht="15.5" x14ac:dyDescent="0.35">
      <c r="A26" s="208">
        <f t="shared" si="2"/>
        <v>23</v>
      </c>
      <c r="B26" s="212" t="str">
        <f t="shared" ca="1" si="1"/>
        <v>nicht überprüft</v>
      </c>
      <c r="C26" s="210">
        <v>23</v>
      </c>
      <c r="D26" s="212" t="s">
        <v>121</v>
      </c>
      <c r="E26" s="212" t="s">
        <v>872</v>
      </c>
      <c r="F26" s="212" t="s">
        <v>1260</v>
      </c>
      <c r="G26" s="212" t="s">
        <v>1671</v>
      </c>
      <c r="H26" s="165" t="s">
        <v>2448</v>
      </c>
      <c r="I26" s="165" t="s">
        <v>3968</v>
      </c>
      <c r="J26" s="579" t="s">
        <v>4481</v>
      </c>
      <c r="K26" s="579" t="s">
        <v>5131</v>
      </c>
      <c r="L26" s="165"/>
      <c r="M26" s="212"/>
    </row>
    <row r="27" spans="1:13" ht="15.5" x14ac:dyDescent="0.35">
      <c r="A27" s="208">
        <f t="shared" si="2"/>
        <v>24</v>
      </c>
      <c r="B27" s="212" t="str">
        <f t="shared" ca="1" si="1"/>
        <v>bestanden</v>
      </c>
      <c r="C27" s="210">
        <v>24</v>
      </c>
      <c r="D27" s="212" t="s">
        <v>473</v>
      </c>
      <c r="E27" s="212" t="s">
        <v>789</v>
      </c>
      <c r="F27" s="212" t="s">
        <v>1165</v>
      </c>
      <c r="G27" s="212" t="s">
        <v>1672</v>
      </c>
      <c r="H27" s="165" t="s">
        <v>2474</v>
      </c>
      <c r="I27" s="165" t="s">
        <v>3969</v>
      </c>
      <c r="J27" s="579" t="s">
        <v>4482</v>
      </c>
      <c r="K27" s="579" t="s">
        <v>5132</v>
      </c>
      <c r="L27" s="165"/>
      <c r="M27" s="212"/>
    </row>
    <row r="28" spans="1:13" ht="15.5" x14ac:dyDescent="0.35">
      <c r="A28" s="208">
        <f t="shared" si="2"/>
        <v>25</v>
      </c>
      <c r="B28" s="212" t="str">
        <f t="shared" ca="1" si="1"/>
        <v>nicht bestanden</v>
      </c>
      <c r="C28" s="210">
        <v>25</v>
      </c>
      <c r="D28" s="212" t="s">
        <v>116</v>
      </c>
      <c r="E28" s="212" t="s">
        <v>790</v>
      </c>
      <c r="F28" s="212" t="s">
        <v>1166</v>
      </c>
      <c r="G28" s="212" t="s">
        <v>1673</v>
      </c>
      <c r="H28" s="165" t="s">
        <v>2475</v>
      </c>
      <c r="I28" s="165" t="s">
        <v>3970</v>
      </c>
      <c r="J28" s="579" t="s">
        <v>4483</v>
      </c>
      <c r="K28" s="579" t="s">
        <v>5133</v>
      </c>
      <c r="L28" s="165"/>
      <c r="M28" s="212"/>
    </row>
    <row r="29" spans="1:13" ht="15.5" x14ac:dyDescent="0.35">
      <c r="A29" s="208">
        <f t="shared" si="2"/>
        <v>26</v>
      </c>
      <c r="B29" s="212" t="str">
        <f t="shared" ca="1" si="1"/>
        <v>unvollständig</v>
      </c>
      <c r="C29" s="210">
        <v>26</v>
      </c>
      <c r="D29" s="212" t="s">
        <v>521</v>
      </c>
      <c r="E29" s="212" t="s">
        <v>873</v>
      </c>
      <c r="F29" s="212" t="s">
        <v>1255</v>
      </c>
      <c r="G29" s="212" t="s">
        <v>1666</v>
      </c>
      <c r="H29" s="165" t="s">
        <v>2085</v>
      </c>
      <c r="I29" s="165" t="s">
        <v>3971</v>
      </c>
      <c r="J29" s="579" t="s">
        <v>4484</v>
      </c>
      <c r="K29" s="579" t="s">
        <v>2085</v>
      </c>
      <c r="L29" s="165"/>
      <c r="M29" s="212"/>
    </row>
    <row r="30" spans="1:13" ht="15.5" x14ac:dyDescent="0.35">
      <c r="A30" s="208">
        <f t="shared" si="2"/>
        <v>27</v>
      </c>
      <c r="B30" s="212" t="str">
        <f t="shared" ca="1" si="1"/>
        <v>Summe der Positionen</v>
      </c>
      <c r="C30" s="210">
        <v>27</v>
      </c>
      <c r="D30" s="212" t="s">
        <v>127</v>
      </c>
      <c r="E30" s="212" t="s">
        <v>874</v>
      </c>
      <c r="F30" s="212" t="s">
        <v>1261</v>
      </c>
      <c r="G30" s="212" t="s">
        <v>1674</v>
      </c>
      <c r="H30" s="165" t="s">
        <v>127</v>
      </c>
      <c r="I30" s="165" t="s">
        <v>3972</v>
      </c>
      <c r="J30" s="579" t="s">
        <v>4485</v>
      </c>
      <c r="K30" s="579" t="s">
        <v>5134</v>
      </c>
      <c r="L30" s="165"/>
      <c r="M30" s="212"/>
    </row>
    <row r="31" spans="1:13" ht="15.5" x14ac:dyDescent="0.35">
      <c r="A31" s="208">
        <f t="shared" si="2"/>
        <v>28</v>
      </c>
      <c r="B31" s="212" t="str">
        <f t="shared" ca="1" si="1"/>
        <v>Summe der Positionen und Unterpositionen</v>
      </c>
      <c r="C31" s="210">
        <v>28</v>
      </c>
      <c r="D31" s="212" t="s">
        <v>277</v>
      </c>
      <c r="E31" s="212" t="s">
        <v>875</v>
      </c>
      <c r="F31" s="212" t="s">
        <v>1262</v>
      </c>
      <c r="G31" s="212" t="s">
        <v>1675</v>
      </c>
      <c r="H31" s="165" t="s">
        <v>2449</v>
      </c>
      <c r="I31" s="165" t="s">
        <v>3973</v>
      </c>
      <c r="J31" s="579" t="s">
        <v>4486</v>
      </c>
      <c r="K31" s="579" t="s">
        <v>5135</v>
      </c>
      <c r="L31" s="165"/>
      <c r="M31" s="212"/>
    </row>
    <row r="32" spans="1:13" ht="15.5" x14ac:dyDescent="0.35">
      <c r="A32" s="208">
        <f t="shared" si="2"/>
        <v>29</v>
      </c>
      <c r="B32" s="212" t="str">
        <f t="shared" ca="1" si="1"/>
        <v>vollständige Positionen</v>
      </c>
      <c r="C32" s="210">
        <v>29</v>
      </c>
      <c r="D32" s="212" t="s">
        <v>125</v>
      </c>
      <c r="E32" s="212" t="s">
        <v>876</v>
      </c>
      <c r="F32" s="212" t="s">
        <v>1263</v>
      </c>
      <c r="G32" s="212" t="s">
        <v>1676</v>
      </c>
      <c r="H32" s="165" t="s">
        <v>2450</v>
      </c>
      <c r="I32" s="165" t="s">
        <v>3974</v>
      </c>
      <c r="J32" s="579" t="s">
        <v>125</v>
      </c>
      <c r="K32" s="579" t="s">
        <v>5136</v>
      </c>
      <c r="L32" s="165"/>
      <c r="M32" s="212"/>
    </row>
    <row r="33" spans="1:13" ht="15.5" x14ac:dyDescent="0.35">
      <c r="A33" s="208">
        <f t="shared" si="2"/>
        <v>30</v>
      </c>
      <c r="B33" s="212" t="str">
        <f t="shared" ca="1" si="1"/>
        <v>nicht gemessen</v>
      </c>
      <c r="C33" s="210">
        <v>30</v>
      </c>
      <c r="D33" s="212" t="s">
        <v>126</v>
      </c>
      <c r="E33" s="212" t="s">
        <v>872</v>
      </c>
      <c r="F33" s="212" t="s">
        <v>1264</v>
      </c>
      <c r="G33" s="212" t="s">
        <v>1677</v>
      </c>
      <c r="H33" s="165" t="s">
        <v>2451</v>
      </c>
      <c r="I33" s="165" t="s">
        <v>3975</v>
      </c>
      <c r="J33" s="579" t="s">
        <v>4487</v>
      </c>
      <c r="K33" s="579" t="s">
        <v>5137</v>
      </c>
      <c r="L33" s="165"/>
      <c r="M33" s="212"/>
    </row>
    <row r="34" spans="1:13" ht="15.5" x14ac:dyDescent="0.35">
      <c r="A34" s="208">
        <f t="shared" si="2"/>
        <v>31</v>
      </c>
      <c r="B34" s="212" t="str">
        <f t="shared" ca="1" si="1"/>
        <v>Punktzahl</v>
      </c>
      <c r="C34" s="210">
        <v>31</v>
      </c>
      <c r="D34" s="212" t="s">
        <v>3</v>
      </c>
      <c r="E34" s="212" t="s">
        <v>3</v>
      </c>
      <c r="F34" s="212" t="s">
        <v>3</v>
      </c>
      <c r="G34" s="212" t="s">
        <v>1678</v>
      </c>
      <c r="H34" s="165" t="s">
        <v>2452</v>
      </c>
      <c r="I34" s="165" t="s">
        <v>3976</v>
      </c>
      <c r="J34" s="579" t="s">
        <v>4488</v>
      </c>
      <c r="K34" s="579" t="s">
        <v>5138</v>
      </c>
      <c r="L34" s="165"/>
      <c r="M34" s="212"/>
    </row>
    <row r="35" spans="1:13" ht="15.5" x14ac:dyDescent="0.35">
      <c r="A35" s="208">
        <f t="shared" si="2"/>
        <v>32</v>
      </c>
      <c r="B35" s="212" t="str">
        <f t="shared" ca="1" si="1"/>
        <v>Maximale Punktzahl</v>
      </c>
      <c r="C35" s="210">
        <v>32</v>
      </c>
      <c r="D35" s="212" t="s">
        <v>270</v>
      </c>
      <c r="E35" s="212" t="s">
        <v>877</v>
      </c>
      <c r="F35" s="212" t="s">
        <v>1265</v>
      </c>
      <c r="G35" s="212" t="s">
        <v>1679</v>
      </c>
      <c r="H35" s="165" t="s">
        <v>2453</v>
      </c>
      <c r="I35" s="165" t="s">
        <v>3977</v>
      </c>
      <c r="J35" s="579" t="s">
        <v>4489</v>
      </c>
      <c r="K35" s="579" t="s">
        <v>5139</v>
      </c>
      <c r="L35" s="165"/>
      <c r="M35" s="212"/>
    </row>
    <row r="36" spans="1:13" ht="15.5" x14ac:dyDescent="0.35">
      <c r="A36" s="208">
        <f t="shared" si="2"/>
        <v>33</v>
      </c>
      <c r="B36" s="212" t="str">
        <f t="shared" ca="1" si="1"/>
        <v>Prozentsatz</v>
      </c>
      <c r="C36" s="210">
        <v>33</v>
      </c>
      <c r="D36" s="212" t="s">
        <v>481</v>
      </c>
      <c r="E36" s="212" t="s">
        <v>878</v>
      </c>
      <c r="F36" s="212" t="s">
        <v>1266</v>
      </c>
      <c r="G36" s="212" t="s">
        <v>1680</v>
      </c>
      <c r="H36" s="165" t="s">
        <v>2454</v>
      </c>
      <c r="I36" s="165" t="s">
        <v>3978</v>
      </c>
      <c r="J36" s="579" t="s">
        <v>4490</v>
      </c>
      <c r="K36" s="579" t="s">
        <v>5140</v>
      </c>
      <c r="L36" s="165"/>
      <c r="M36" s="212"/>
    </row>
    <row r="37" spans="1:13" ht="15.5" x14ac:dyDescent="0.35">
      <c r="A37" s="208">
        <f t="shared" si="2"/>
        <v>34</v>
      </c>
      <c r="B37" s="212" t="str">
        <f t="shared" ca="1" si="1"/>
        <v>Wert der Kategorie</v>
      </c>
      <c r="C37" s="210">
        <v>34</v>
      </c>
      <c r="D37" s="212" t="s">
        <v>479</v>
      </c>
      <c r="E37" s="212" t="s">
        <v>879</v>
      </c>
      <c r="F37" s="212" t="s">
        <v>1267</v>
      </c>
      <c r="G37" s="212" t="s">
        <v>1681</v>
      </c>
      <c r="H37" s="165" t="s">
        <v>2476</v>
      </c>
      <c r="I37" s="165" t="s">
        <v>3979</v>
      </c>
      <c r="J37" s="579" t="s">
        <v>4491</v>
      </c>
      <c r="K37" s="579" t="s">
        <v>5141</v>
      </c>
      <c r="L37" s="165"/>
      <c r="M37" s="212"/>
    </row>
    <row r="38" spans="1:13" ht="15.5" x14ac:dyDescent="0.35">
      <c r="A38" s="208">
        <f t="shared" si="2"/>
        <v>35</v>
      </c>
      <c r="B38" s="212" t="str">
        <f t="shared" ca="1" si="1"/>
        <v>Gesamtbewertung</v>
      </c>
      <c r="C38" s="210">
        <v>35</v>
      </c>
      <c r="D38" s="212" t="s">
        <v>123</v>
      </c>
      <c r="E38" s="212" t="s">
        <v>880</v>
      </c>
      <c r="F38" s="212" t="s">
        <v>1268</v>
      </c>
      <c r="G38" s="212" t="s">
        <v>1682</v>
      </c>
      <c r="H38" s="165" t="s">
        <v>2455</v>
      </c>
      <c r="I38" s="165" t="s">
        <v>3980</v>
      </c>
      <c r="J38" s="579" t="s">
        <v>4492</v>
      </c>
      <c r="K38" s="579" t="s">
        <v>5142</v>
      </c>
      <c r="L38" s="165"/>
      <c r="M38" s="212"/>
    </row>
    <row r="39" spans="1:13" ht="15.5" x14ac:dyDescent="0.35">
      <c r="A39" s="208">
        <f t="shared" si="2"/>
        <v>36</v>
      </c>
      <c r="B39" s="212" t="str">
        <f t="shared" ca="1" si="1"/>
        <v>Kategorie</v>
      </c>
      <c r="C39" s="210">
        <v>36</v>
      </c>
      <c r="D39" s="212" t="s">
        <v>124</v>
      </c>
      <c r="E39" s="212" t="s">
        <v>881</v>
      </c>
      <c r="F39" s="212" t="s">
        <v>1269</v>
      </c>
      <c r="G39" s="212" t="s">
        <v>1683</v>
      </c>
      <c r="H39" s="165" t="s">
        <v>2456</v>
      </c>
      <c r="I39" s="165" t="s">
        <v>3981</v>
      </c>
      <c r="J39" s="579" t="s">
        <v>4493</v>
      </c>
      <c r="K39" s="579" t="s">
        <v>2456</v>
      </c>
      <c r="L39" s="165"/>
      <c r="M39" s="212"/>
    </row>
    <row r="40" spans="1:13" ht="15.5" x14ac:dyDescent="0.35">
      <c r="A40" s="208">
        <f t="shared" si="2"/>
        <v>37</v>
      </c>
      <c r="B40" s="212" t="str">
        <f t="shared" ca="1" si="1"/>
        <v>Anzahl der Positionen</v>
      </c>
      <c r="C40" s="210">
        <v>37</v>
      </c>
      <c r="D40" s="212" t="s">
        <v>430</v>
      </c>
      <c r="E40" s="212" t="s">
        <v>882</v>
      </c>
      <c r="F40" s="212" t="s">
        <v>1261</v>
      </c>
      <c r="G40" s="212" t="s">
        <v>1684</v>
      </c>
      <c r="H40" s="165" t="s">
        <v>2457</v>
      </c>
      <c r="I40" s="165" t="s">
        <v>3982</v>
      </c>
      <c r="J40" s="579" t="s">
        <v>4494</v>
      </c>
      <c r="K40" s="579" t="s">
        <v>5143</v>
      </c>
      <c r="L40" s="165"/>
      <c r="M40" s="212"/>
    </row>
    <row r="41" spans="1:13" ht="15.5" x14ac:dyDescent="0.35">
      <c r="A41" s="208">
        <f t="shared" si="2"/>
        <v>38</v>
      </c>
      <c r="B41" s="212" t="str">
        <f t="shared" ca="1" si="1"/>
        <v>Anzahl der Übereinstimmungen</v>
      </c>
      <c r="C41" s="210">
        <v>38</v>
      </c>
      <c r="D41" s="212" t="s">
        <v>431</v>
      </c>
      <c r="E41" s="212" t="s">
        <v>870</v>
      </c>
      <c r="F41" s="212" t="s">
        <v>1258</v>
      </c>
      <c r="G41" s="212" t="s">
        <v>1685</v>
      </c>
      <c r="H41" s="165" t="s">
        <v>2458</v>
      </c>
      <c r="I41" s="165" t="s">
        <v>4021</v>
      </c>
      <c r="J41" s="579" t="s">
        <v>4495</v>
      </c>
      <c r="K41" s="579" t="s">
        <v>5144</v>
      </c>
      <c r="L41" s="165"/>
      <c r="M41" s="212"/>
    </row>
    <row r="42" spans="1:13" ht="15.5" x14ac:dyDescent="0.35">
      <c r="A42" s="208">
        <f t="shared" si="2"/>
        <v>39</v>
      </c>
      <c r="B42" s="212" t="str">
        <f t="shared" ca="1" si="1"/>
        <v>Anzahl der Mängel</v>
      </c>
      <c r="C42" s="210">
        <v>39</v>
      </c>
      <c r="D42" s="212" t="s">
        <v>432</v>
      </c>
      <c r="E42" s="212" t="s">
        <v>871</v>
      </c>
      <c r="F42" s="212" t="s">
        <v>1259</v>
      </c>
      <c r="G42" s="212" t="s">
        <v>1686</v>
      </c>
      <c r="H42" s="165" t="s">
        <v>2459</v>
      </c>
      <c r="I42" s="165" t="s">
        <v>3983</v>
      </c>
      <c r="J42" s="579" t="s">
        <v>4496</v>
      </c>
      <c r="K42" s="579" t="s">
        <v>5145</v>
      </c>
      <c r="L42" s="165"/>
      <c r="M42" s="212"/>
    </row>
    <row r="43" spans="1:13" ht="15.5" x14ac:dyDescent="0.35">
      <c r="A43" s="208">
        <f t="shared" si="2"/>
        <v>40</v>
      </c>
      <c r="B43" s="212" t="str">
        <f t="shared" ca="1" si="1"/>
        <v>zu vervollständigen</v>
      </c>
      <c r="C43" s="210">
        <v>40</v>
      </c>
      <c r="D43" s="212" t="s">
        <v>434</v>
      </c>
      <c r="E43" s="212" t="s">
        <v>883</v>
      </c>
      <c r="F43" s="212" t="s">
        <v>1270</v>
      </c>
      <c r="G43" s="212" t="s">
        <v>1687</v>
      </c>
      <c r="H43" s="165" t="s">
        <v>2460</v>
      </c>
      <c r="I43" s="165" t="s">
        <v>3984</v>
      </c>
      <c r="J43" s="579" t="s">
        <v>4497</v>
      </c>
      <c r="K43" s="579" t="s">
        <v>5146</v>
      </c>
      <c r="L43" s="165"/>
      <c r="M43" s="212"/>
    </row>
    <row r="44" spans="1:13" ht="15.5" x14ac:dyDescent="0.35">
      <c r="A44" s="208">
        <f t="shared" si="2"/>
        <v>41</v>
      </c>
      <c r="B44" s="212" t="str">
        <f t="shared" ca="1" si="1"/>
        <v>% erreicht</v>
      </c>
      <c r="C44" s="210">
        <v>41</v>
      </c>
      <c r="D44" s="212" t="s">
        <v>476</v>
      </c>
      <c r="E44" s="212" t="s">
        <v>884</v>
      </c>
      <c r="F44" s="212" t="s">
        <v>1271</v>
      </c>
      <c r="G44" s="212" t="s">
        <v>1688</v>
      </c>
      <c r="H44" s="165" t="s">
        <v>2461</v>
      </c>
      <c r="I44" s="165" t="s">
        <v>3985</v>
      </c>
      <c r="J44" s="579" t="s">
        <v>4498</v>
      </c>
      <c r="K44" s="579" t="s">
        <v>5147</v>
      </c>
      <c r="L44" s="165"/>
      <c r="M44" s="212"/>
    </row>
    <row r="45" spans="1:13" ht="15.5" x14ac:dyDescent="0.35">
      <c r="A45" s="208">
        <f t="shared" si="2"/>
        <v>42</v>
      </c>
      <c r="B45" s="212" t="str">
        <f t="shared" ca="1" si="1"/>
        <v>Minimum</v>
      </c>
      <c r="C45" s="210">
        <v>42</v>
      </c>
      <c r="D45" s="212" t="s">
        <v>519</v>
      </c>
      <c r="E45" s="212" t="s">
        <v>885</v>
      </c>
      <c r="F45" s="212" t="s">
        <v>519</v>
      </c>
      <c r="G45" s="212" t="s">
        <v>519</v>
      </c>
      <c r="H45" s="165" t="s">
        <v>2084</v>
      </c>
      <c r="I45" s="165" t="s">
        <v>3986</v>
      </c>
      <c r="J45" s="579" t="s">
        <v>519</v>
      </c>
      <c r="K45" s="579" t="s">
        <v>5148</v>
      </c>
      <c r="L45" s="165"/>
      <c r="M45" s="212"/>
    </row>
    <row r="46" spans="1:13" ht="15.5" x14ac:dyDescent="0.35">
      <c r="A46" s="208">
        <f t="shared" si="2"/>
        <v>43</v>
      </c>
      <c r="B46" s="212" t="str">
        <f t="shared" ca="1" si="1"/>
        <v>Punktzahl der Kategorie</v>
      </c>
      <c r="C46" s="210">
        <v>43</v>
      </c>
      <c r="D46" s="212" t="s">
        <v>477</v>
      </c>
      <c r="E46" s="212" t="s">
        <v>879</v>
      </c>
      <c r="F46" s="212" t="s">
        <v>1267</v>
      </c>
      <c r="G46" s="212" t="s">
        <v>1689</v>
      </c>
      <c r="H46" s="165" t="s">
        <v>2462</v>
      </c>
      <c r="I46" s="165" t="s">
        <v>3987</v>
      </c>
      <c r="J46" s="579" t="s">
        <v>4499</v>
      </c>
      <c r="K46" s="579" t="s">
        <v>5149</v>
      </c>
      <c r="L46" s="165"/>
      <c r="M46" s="212"/>
    </row>
    <row r="47" spans="1:13" ht="15.5" x14ac:dyDescent="0.35">
      <c r="A47" s="208">
        <f t="shared" si="2"/>
        <v>44</v>
      </c>
      <c r="B47" s="212" t="str">
        <f t="shared" ca="1" si="1"/>
        <v>erreichte Punktzahl</v>
      </c>
      <c r="C47" s="210">
        <v>44</v>
      </c>
      <c r="D47" s="212" t="s">
        <v>478</v>
      </c>
      <c r="E47" s="212" t="s">
        <v>886</v>
      </c>
      <c r="F47" s="212" t="s">
        <v>1272</v>
      </c>
      <c r="G47" s="212" t="s">
        <v>1690</v>
      </c>
      <c r="H47" s="165" t="s">
        <v>2463</v>
      </c>
      <c r="I47" s="165" t="s">
        <v>3988</v>
      </c>
      <c r="J47" s="579" t="s">
        <v>4500</v>
      </c>
      <c r="K47" s="579" t="s">
        <v>5150</v>
      </c>
      <c r="L47" s="165"/>
      <c r="M47" s="212"/>
    </row>
    <row r="48" spans="1:13" ht="15.5" x14ac:dyDescent="0.35">
      <c r="A48" s="208">
        <f t="shared" si="2"/>
        <v>45</v>
      </c>
      <c r="B48" s="212" t="str">
        <f t="shared" ca="1" si="1"/>
        <v>Status</v>
      </c>
      <c r="C48" s="210">
        <v>45</v>
      </c>
      <c r="D48" s="212" t="s">
        <v>433</v>
      </c>
      <c r="E48" s="212" t="s">
        <v>433</v>
      </c>
      <c r="F48" s="212" t="s">
        <v>1273</v>
      </c>
      <c r="G48" s="212" t="s">
        <v>433</v>
      </c>
      <c r="H48" s="165" t="s">
        <v>2083</v>
      </c>
      <c r="I48" s="165" t="s">
        <v>3989</v>
      </c>
      <c r="J48" s="579" t="s">
        <v>433</v>
      </c>
      <c r="K48" s="579" t="s">
        <v>5151</v>
      </c>
      <c r="L48" s="165"/>
      <c r="M48" s="212"/>
    </row>
    <row r="49" spans="1:13" ht="15.5" x14ac:dyDescent="0.35">
      <c r="A49" s="208">
        <f t="shared" si="2"/>
        <v>46</v>
      </c>
      <c r="B49" s="212" t="str">
        <f t="shared" ca="1" si="1"/>
        <v>% Vollständigkeit</v>
      </c>
      <c r="C49" s="210">
        <v>46</v>
      </c>
      <c r="D49" s="212" t="s">
        <v>435</v>
      </c>
      <c r="E49" s="212" t="s">
        <v>887</v>
      </c>
      <c r="F49" s="212" t="s">
        <v>1274</v>
      </c>
      <c r="G49" s="212" t="s">
        <v>1691</v>
      </c>
      <c r="H49" s="165" t="s">
        <v>2464</v>
      </c>
      <c r="I49" s="165" t="s">
        <v>3990</v>
      </c>
      <c r="J49" s="579" t="s">
        <v>4501</v>
      </c>
      <c r="K49" s="579" t="s">
        <v>5152</v>
      </c>
      <c r="L49" s="165"/>
      <c r="M49" s="212"/>
    </row>
    <row r="50" spans="1:13" ht="15.5" x14ac:dyDescent="0.35">
      <c r="A50" s="208">
        <f t="shared" si="2"/>
        <v>47</v>
      </c>
      <c r="B50" s="212" t="str">
        <f t="shared" ca="1" si="1"/>
        <v>Zwischensummen</v>
      </c>
      <c r="C50" s="210">
        <v>47</v>
      </c>
      <c r="D50" s="212" t="s">
        <v>522</v>
      </c>
      <c r="E50" s="212" t="s">
        <v>888</v>
      </c>
      <c r="F50" s="212" t="s">
        <v>1275</v>
      </c>
      <c r="G50" s="212" t="s">
        <v>1692</v>
      </c>
      <c r="H50" s="165" t="s">
        <v>2465</v>
      </c>
      <c r="I50" s="165" t="s">
        <v>3991</v>
      </c>
      <c r="J50" s="579" t="s">
        <v>4502</v>
      </c>
      <c r="K50" s="579" t="s">
        <v>5153</v>
      </c>
      <c r="L50" s="165"/>
      <c r="M50" s="212"/>
    </row>
    <row r="51" spans="1:13" ht="15.5" x14ac:dyDescent="0.35">
      <c r="A51" s="208">
        <f t="shared" si="2"/>
        <v>48</v>
      </c>
      <c r="B51" s="212" t="str">
        <f t="shared" ca="1" si="1"/>
        <v>Summen</v>
      </c>
      <c r="C51" s="210">
        <v>48</v>
      </c>
      <c r="D51" s="212" t="s">
        <v>436</v>
      </c>
      <c r="E51" s="212" t="s">
        <v>889</v>
      </c>
      <c r="F51" s="212" t="s">
        <v>1276</v>
      </c>
      <c r="G51" s="212" t="s">
        <v>1693</v>
      </c>
      <c r="H51" s="165" t="s">
        <v>1276</v>
      </c>
      <c r="I51" s="165" t="s">
        <v>3992</v>
      </c>
      <c r="J51" s="579" t="s">
        <v>4503</v>
      </c>
      <c r="K51" s="579" t="s">
        <v>5154</v>
      </c>
      <c r="L51" s="165"/>
      <c r="M51" s="212"/>
    </row>
    <row r="52" spans="1:13" ht="15.5" x14ac:dyDescent="0.35">
      <c r="A52" s="208">
        <f t="shared" si="2"/>
        <v>49</v>
      </c>
      <c r="B52" s="212" t="str">
        <f t="shared" ca="1" si="1"/>
        <v>Mindestanforderung für ESPA Award</v>
      </c>
      <c r="C52" s="210">
        <v>49</v>
      </c>
      <c r="D52" s="212" t="s">
        <v>523</v>
      </c>
      <c r="E52" s="212" t="s">
        <v>890</v>
      </c>
      <c r="F52" s="212" t="s">
        <v>1277</v>
      </c>
      <c r="G52" s="212" t="s">
        <v>1694</v>
      </c>
      <c r="H52" s="165" t="s">
        <v>2477</v>
      </c>
      <c r="I52" s="165" t="s">
        <v>3993</v>
      </c>
      <c r="J52" s="579" t="s">
        <v>4504</v>
      </c>
      <c r="K52" s="579" t="s">
        <v>5155</v>
      </c>
      <c r="L52" s="165"/>
      <c r="M52" s="212"/>
    </row>
    <row r="53" spans="1:13" ht="15.5" x14ac:dyDescent="0.35">
      <c r="A53" s="208">
        <f t="shared" si="2"/>
        <v>50</v>
      </c>
      <c r="B53" s="212" t="str">
        <f t="shared" ca="1" si="1"/>
        <v>Mindestpunktzahl dieser Kategorie</v>
      </c>
      <c r="C53" s="210">
        <v>50</v>
      </c>
      <c r="D53" s="212" t="s">
        <v>520</v>
      </c>
      <c r="E53" s="212" t="s">
        <v>895</v>
      </c>
      <c r="F53" s="212" t="s">
        <v>3248</v>
      </c>
      <c r="G53" s="212" t="s">
        <v>1695</v>
      </c>
      <c r="H53" s="165" t="s">
        <v>2478</v>
      </c>
      <c r="I53" s="165" t="s">
        <v>3994</v>
      </c>
      <c r="J53" s="579" t="s">
        <v>4505</v>
      </c>
      <c r="K53" s="579" t="s">
        <v>5156</v>
      </c>
      <c r="L53" s="165"/>
      <c r="M53" s="212"/>
    </row>
    <row r="54" spans="1:13" ht="15.5" x14ac:dyDescent="0.35">
      <c r="A54" s="208">
        <f t="shared" si="2"/>
        <v>51</v>
      </c>
      <c r="B54" s="212" t="str">
        <f t="shared" ca="1" si="1"/>
        <v>ESPA Award</v>
      </c>
      <c r="C54" s="210">
        <v>51</v>
      </c>
      <c r="D54" s="212" t="s">
        <v>524</v>
      </c>
      <c r="E54" s="212" t="s">
        <v>524</v>
      </c>
      <c r="F54" s="212" t="s">
        <v>1278</v>
      </c>
      <c r="G54" s="212" t="s">
        <v>1696</v>
      </c>
      <c r="H54" s="165" t="s">
        <v>2479</v>
      </c>
      <c r="I54" s="165" t="s">
        <v>3995</v>
      </c>
      <c r="J54" s="579" t="s">
        <v>4506</v>
      </c>
      <c r="K54" s="579" t="s">
        <v>5157</v>
      </c>
      <c r="L54" s="165"/>
      <c r="M54" s="212"/>
    </row>
    <row r="55" spans="1:13" ht="15.5" x14ac:dyDescent="0.35">
      <c r="A55" s="208">
        <f t="shared" si="2"/>
        <v>52</v>
      </c>
      <c r="B55" s="212" t="str">
        <f t="shared" ca="1" si="1"/>
        <v>Positionsliste</v>
      </c>
      <c r="C55" s="210">
        <v>52</v>
      </c>
      <c r="D55" s="212" t="s">
        <v>276</v>
      </c>
      <c r="E55" s="212" t="s">
        <v>276</v>
      </c>
      <c r="F55" s="212" t="s">
        <v>1279</v>
      </c>
      <c r="G55" s="212" t="s">
        <v>1489</v>
      </c>
      <c r="H55" s="165" t="s">
        <v>2183</v>
      </c>
      <c r="I55" s="165" t="s">
        <v>3996</v>
      </c>
      <c r="J55" s="579" t="s">
        <v>4209</v>
      </c>
      <c r="K55" s="579" t="s">
        <v>4710</v>
      </c>
      <c r="L55" s="165"/>
      <c r="M55" s="212"/>
    </row>
    <row r="56" spans="1:13" ht="15.5" x14ac:dyDescent="0.35">
      <c r="A56" s="208">
        <f t="shared" si="2"/>
        <v>53</v>
      </c>
      <c r="B56" s="212" t="str">
        <f t="shared" ca="1" si="1"/>
        <v>Messwerte</v>
      </c>
      <c r="C56" s="210">
        <v>53</v>
      </c>
      <c r="D56" s="212" t="s">
        <v>92</v>
      </c>
      <c r="E56" s="212" t="s">
        <v>891</v>
      </c>
      <c r="F56" s="212" t="s">
        <v>1280</v>
      </c>
      <c r="G56" s="212" t="s">
        <v>1697</v>
      </c>
      <c r="H56" s="165" t="s">
        <v>2466</v>
      </c>
      <c r="I56" s="165" t="s">
        <v>3997</v>
      </c>
      <c r="J56" s="579" t="s">
        <v>4507</v>
      </c>
      <c r="K56" s="579" t="s">
        <v>5158</v>
      </c>
      <c r="L56" s="165"/>
      <c r="M56" s="212"/>
    </row>
    <row r="57" spans="1:13" ht="15.5" x14ac:dyDescent="0.35">
      <c r="A57" s="208">
        <f t="shared" si="2"/>
        <v>54</v>
      </c>
      <c r="B57" s="212" t="str">
        <f t="shared" ca="1" si="1"/>
        <v>maximaler Beitrag zum Endergebnis</v>
      </c>
      <c r="C57" s="210">
        <v>54</v>
      </c>
      <c r="D57" s="212" t="s">
        <v>480</v>
      </c>
      <c r="E57" s="212" t="s">
        <v>892</v>
      </c>
      <c r="F57" s="212" t="s">
        <v>1281</v>
      </c>
      <c r="G57" s="212" t="s">
        <v>1698</v>
      </c>
      <c r="H57" s="165" t="s">
        <v>2480</v>
      </c>
      <c r="I57" s="165" t="s">
        <v>3998</v>
      </c>
      <c r="J57" s="579" t="s">
        <v>4508</v>
      </c>
      <c r="K57" s="579" t="s">
        <v>5159</v>
      </c>
      <c r="L57" s="165"/>
      <c r="M57" s="212"/>
    </row>
    <row r="58" spans="1:13" ht="15.5" x14ac:dyDescent="0.35">
      <c r="A58" s="208">
        <f t="shared" si="2"/>
        <v>55</v>
      </c>
      <c r="B58" s="212" t="str">
        <f t="shared" ca="1" si="1"/>
        <v>Beitrag zum Endergebnis</v>
      </c>
      <c r="C58" s="210">
        <v>55</v>
      </c>
      <c r="D58" s="212" t="s">
        <v>475</v>
      </c>
      <c r="E58" s="212" t="s">
        <v>893</v>
      </c>
      <c r="F58" s="212" t="s">
        <v>1282</v>
      </c>
      <c r="G58" s="212" t="s">
        <v>1699</v>
      </c>
      <c r="H58" s="165" t="s">
        <v>2467</v>
      </c>
      <c r="I58" s="165" t="s">
        <v>3999</v>
      </c>
      <c r="J58" s="579" t="s">
        <v>4509</v>
      </c>
      <c r="K58" s="579" t="s">
        <v>5160</v>
      </c>
      <c r="L58" s="165"/>
      <c r="M58" s="212"/>
    </row>
    <row r="59" spans="1:13" ht="15.5" x14ac:dyDescent="0.35">
      <c r="A59" s="208">
        <f t="shared" si="2"/>
        <v>56</v>
      </c>
      <c r="B59" s="212" t="str">
        <f t="shared" ca="1" si="1"/>
        <v>Anmerkungen</v>
      </c>
      <c r="C59" s="210">
        <v>56</v>
      </c>
      <c r="D59" s="212" t="s">
        <v>4</v>
      </c>
      <c r="E59" s="212" t="s">
        <v>894</v>
      </c>
      <c r="F59" s="212" t="s">
        <v>1283</v>
      </c>
      <c r="G59" s="212" t="s">
        <v>1700</v>
      </c>
      <c r="H59" s="165" t="s">
        <v>2468</v>
      </c>
      <c r="I59" s="165" t="s">
        <v>4000</v>
      </c>
      <c r="J59" s="579" t="s">
        <v>4479</v>
      </c>
      <c r="K59" s="579" t="s">
        <v>5161</v>
      </c>
      <c r="L59" s="165"/>
      <c r="M59" s="212"/>
    </row>
    <row r="60" spans="1:13" ht="15.5" x14ac:dyDescent="0.35">
      <c r="A60" s="208">
        <f t="shared" si="2"/>
        <v>57</v>
      </c>
      <c r="B60" s="212" t="str">
        <f t="shared" ca="1" si="1"/>
        <v>Anmerkungen</v>
      </c>
      <c r="C60" s="210">
        <v>57</v>
      </c>
      <c r="D60" s="212" t="s">
        <v>1314</v>
      </c>
      <c r="E60" s="212" t="s">
        <v>1315</v>
      </c>
      <c r="F60" s="212" t="s">
        <v>1257</v>
      </c>
      <c r="G60" s="212" t="s">
        <v>1700</v>
      </c>
      <c r="H60" s="165" t="s">
        <v>2082</v>
      </c>
      <c r="I60" s="165" t="s">
        <v>4001</v>
      </c>
      <c r="J60" s="579" t="s">
        <v>4479</v>
      </c>
      <c r="K60" s="579" t="s">
        <v>5162</v>
      </c>
      <c r="L60" s="165"/>
      <c r="M60" s="212"/>
    </row>
    <row r="61" spans="1:13" ht="31" x14ac:dyDescent="0.35">
      <c r="A61" s="208">
        <f t="shared" si="2"/>
        <v>58</v>
      </c>
      <c r="B61" s="212" t="str">
        <f t="shared" ca="1" si="1"/>
        <v>Dies wird alle Daten in dem ESPA Arbeitsblatt löschen. Sind Sie sicher?</v>
      </c>
      <c r="C61" s="210">
        <v>58</v>
      </c>
      <c r="D61" s="212" t="s">
        <v>1323</v>
      </c>
      <c r="E61" s="212" t="s">
        <v>2517</v>
      </c>
      <c r="F61" s="212" t="s">
        <v>3249</v>
      </c>
      <c r="G61" s="212" t="s">
        <v>1809</v>
      </c>
      <c r="H61" s="165" t="s">
        <v>2469</v>
      </c>
      <c r="I61" s="165" t="s">
        <v>4002</v>
      </c>
      <c r="J61" s="579" t="s">
        <v>4510</v>
      </c>
      <c r="K61" s="579" t="s">
        <v>5163</v>
      </c>
      <c r="L61" s="165"/>
      <c r="M61" s="212"/>
    </row>
    <row r="62" spans="1:13" ht="31" x14ac:dyDescent="0.35">
      <c r="A62" s="208">
        <f t="shared" si="2"/>
        <v>59</v>
      </c>
      <c r="B62" s="212" t="str">
        <f t="shared" ca="1" si="1"/>
        <v>Sie haben ein unzulässiges Passwort eingegeben. Die ESPA Arbeitsblätter können nicht ungeschützt bleiben.</v>
      </c>
      <c r="C62" s="210">
        <v>59</v>
      </c>
      <c r="D62" s="212" t="s">
        <v>1321</v>
      </c>
      <c r="E62" s="212" t="s">
        <v>2518</v>
      </c>
      <c r="F62" s="212" t="s">
        <v>3250</v>
      </c>
      <c r="G62" s="212" t="s">
        <v>1810</v>
      </c>
      <c r="H62" s="165" t="s">
        <v>2481</v>
      </c>
      <c r="I62" s="165" t="s">
        <v>4003</v>
      </c>
      <c r="J62" s="579" t="s">
        <v>4511</v>
      </c>
      <c r="K62" s="579" t="s">
        <v>5164</v>
      </c>
      <c r="L62" s="165"/>
      <c r="M62" s="212"/>
    </row>
    <row r="63" spans="1:13" ht="31" x14ac:dyDescent="0.35">
      <c r="A63" s="208">
        <f t="shared" si="2"/>
        <v>60</v>
      </c>
      <c r="B63" s="212" t="str">
        <f t="shared" ca="1" si="1"/>
        <v>Bitte geben Sie Ihr Passwort ein, um das ESPA Arbeitsblatt zu öffnen.</v>
      </c>
      <c r="C63" s="210">
        <v>60</v>
      </c>
      <c r="D63" s="212" t="s">
        <v>1319</v>
      </c>
      <c r="E63" s="212" t="s">
        <v>2519</v>
      </c>
      <c r="F63" s="212" t="s">
        <v>3251</v>
      </c>
      <c r="G63" s="212" t="s">
        <v>5319</v>
      </c>
      <c r="H63" s="165" t="s">
        <v>2482</v>
      </c>
      <c r="I63" s="165" t="s">
        <v>4004</v>
      </c>
      <c r="J63" s="579" t="s">
        <v>4512</v>
      </c>
      <c r="K63" s="579" t="s">
        <v>5165</v>
      </c>
      <c r="L63" s="165"/>
      <c r="M63" s="212"/>
    </row>
    <row r="64" spans="1:13" ht="15.5" x14ac:dyDescent="0.35">
      <c r="A64" s="208">
        <f t="shared" si="2"/>
        <v>61</v>
      </c>
      <c r="B64" s="212" t="str">
        <f t="shared" ca="1" si="1"/>
        <v>Eingabe Passwort</v>
      </c>
      <c r="C64" s="210">
        <v>61</v>
      </c>
      <c r="D64" s="212" t="s">
        <v>1320</v>
      </c>
      <c r="E64" s="212" t="s">
        <v>2520</v>
      </c>
      <c r="F64" s="212" t="s">
        <v>3252</v>
      </c>
      <c r="G64" s="212" t="s">
        <v>1812</v>
      </c>
      <c r="H64" s="165" t="s">
        <v>2470</v>
      </c>
      <c r="I64" s="165" t="s">
        <v>4005</v>
      </c>
      <c r="J64" s="579" t="s">
        <v>4513</v>
      </c>
      <c r="K64" s="579" t="s">
        <v>5166</v>
      </c>
      <c r="L64" s="165"/>
      <c r="M64" s="212"/>
    </row>
    <row r="65" spans="1:13" ht="15.5" x14ac:dyDescent="0.35">
      <c r="A65" s="208">
        <f t="shared" si="2"/>
        <v>62</v>
      </c>
      <c r="B65" s="212" t="str">
        <f t="shared" ca="1" si="1"/>
        <v>Unzulässiges Passwort</v>
      </c>
      <c r="C65" s="210">
        <v>62</v>
      </c>
      <c r="D65" s="212" t="s">
        <v>1322</v>
      </c>
      <c r="E65" s="212" t="s">
        <v>2521</v>
      </c>
      <c r="F65" s="212" t="s">
        <v>3253</v>
      </c>
      <c r="G65" s="212" t="s">
        <v>1813</v>
      </c>
      <c r="H65" s="165" t="s">
        <v>2471</v>
      </c>
      <c r="I65" s="165" t="s">
        <v>4006</v>
      </c>
      <c r="J65" s="579" t="s">
        <v>4514</v>
      </c>
      <c r="K65" s="579" t="s">
        <v>5167</v>
      </c>
      <c r="L65" s="165"/>
      <c r="M65" s="212"/>
    </row>
    <row r="66" spans="1:13" ht="31" x14ac:dyDescent="0.35">
      <c r="A66" s="208">
        <f t="shared" si="2"/>
        <v>63</v>
      </c>
      <c r="B66" s="212" t="str">
        <f t="shared" ca="1" si="1"/>
        <v>Hierdurch werden 15 Seiten auf Ihrem aktiven Drucker ausgedruckt. Sind Sie sicher?</v>
      </c>
      <c r="C66" s="210">
        <v>63</v>
      </c>
      <c r="D66" s="212" t="s">
        <v>2483</v>
      </c>
      <c r="E66" s="212" t="s">
        <v>2550</v>
      </c>
      <c r="F66" s="212" t="s">
        <v>3254</v>
      </c>
      <c r="G66" s="212" t="s">
        <v>5320</v>
      </c>
      <c r="H66" s="165" t="s">
        <v>2484</v>
      </c>
      <c r="I66" s="165" t="s">
        <v>4007</v>
      </c>
      <c r="J66" s="579" t="s">
        <v>4515</v>
      </c>
      <c r="K66" s="579" t="s">
        <v>5168</v>
      </c>
      <c r="L66" s="165"/>
      <c r="M66" s="212"/>
    </row>
    <row r="67" spans="1:13" ht="15.5" x14ac:dyDescent="0.35">
      <c r="A67" s="208">
        <f t="shared" si="2"/>
        <v>64</v>
      </c>
      <c r="B67" s="212" t="str">
        <f t="shared" ca="1" si="1"/>
        <v>Alarm</v>
      </c>
      <c r="C67" s="210">
        <v>64</v>
      </c>
      <c r="D67" s="212" t="s">
        <v>1325</v>
      </c>
      <c r="E67" s="212" t="s">
        <v>2522</v>
      </c>
      <c r="F67" s="212" t="s">
        <v>3255</v>
      </c>
      <c r="G67" s="212" t="s">
        <v>1815</v>
      </c>
      <c r="H67" s="165" t="s">
        <v>2485</v>
      </c>
      <c r="I67" s="165" t="s">
        <v>4008</v>
      </c>
      <c r="J67" s="579" t="s">
        <v>1815</v>
      </c>
      <c r="K67" s="579" t="s">
        <v>5169</v>
      </c>
      <c r="L67" s="165"/>
      <c r="M67" s="212"/>
    </row>
    <row r="68" spans="1:13" ht="31" x14ac:dyDescent="0.35">
      <c r="A68" s="208">
        <f t="shared" si="2"/>
        <v>65</v>
      </c>
      <c r="B68" s="212" t="str">
        <f t="shared" ca="1" si="1"/>
        <v>Das Ändern der Sprache wird alle Ihre bisherigen Eingaben zurücksetzen. Sind Sie sicher?</v>
      </c>
      <c r="C68" s="210">
        <v>65</v>
      </c>
      <c r="D68" s="212" t="s">
        <v>1756</v>
      </c>
      <c r="E68" s="212" t="s">
        <v>2523</v>
      </c>
      <c r="F68" s="212" t="s">
        <v>3256</v>
      </c>
      <c r="G68" s="212" t="s">
        <v>1816</v>
      </c>
      <c r="H68" s="165" t="s">
        <v>2486</v>
      </c>
      <c r="I68" s="165" t="s">
        <v>4009</v>
      </c>
      <c r="J68" s="579" t="s">
        <v>4516</v>
      </c>
      <c r="K68" s="579" t="s">
        <v>5170</v>
      </c>
      <c r="L68" s="165"/>
      <c r="M68" s="212"/>
    </row>
    <row r="69" spans="1:13" ht="15.5" x14ac:dyDescent="0.35">
      <c r="A69" s="208">
        <f t="shared" si="2"/>
        <v>66</v>
      </c>
      <c r="B69" s="212" t="str">
        <f t="shared" ref="B69:B79" ca="1" si="3">OFFSET(C69,0,$A$1)</f>
        <v>Mindestbedingungen für den Gold Award</v>
      </c>
      <c r="C69" s="210">
        <v>66</v>
      </c>
      <c r="D69" s="212" t="s">
        <v>1762</v>
      </c>
      <c r="E69" s="212" t="s">
        <v>2524</v>
      </c>
      <c r="F69" s="212" t="s">
        <v>3257</v>
      </c>
      <c r="G69" s="212" t="s">
        <v>1817</v>
      </c>
      <c r="H69" s="165" t="s">
        <v>2488</v>
      </c>
      <c r="I69" s="165" t="s">
        <v>4010</v>
      </c>
      <c r="J69" s="579" t="s">
        <v>4517</v>
      </c>
      <c r="K69" s="579" t="s">
        <v>5171</v>
      </c>
      <c r="L69" s="165"/>
      <c r="M69" s="212"/>
    </row>
    <row r="70" spans="1:13" ht="15.5" x14ac:dyDescent="0.35">
      <c r="A70" s="208">
        <f t="shared" si="2"/>
        <v>67</v>
      </c>
      <c r="B70" s="212" t="str">
        <f t="shared" ca="1" si="3"/>
        <v>ESPA Gold Award</v>
      </c>
      <c r="C70" s="210">
        <v>67</v>
      </c>
      <c r="D70" s="212" t="s">
        <v>1787</v>
      </c>
      <c r="E70" s="212" t="s">
        <v>1787</v>
      </c>
      <c r="F70" s="212" t="s">
        <v>1787</v>
      </c>
      <c r="G70" s="212" t="s">
        <v>1787</v>
      </c>
      <c r="H70" s="165" t="s">
        <v>2487</v>
      </c>
      <c r="I70" s="165" t="s">
        <v>4011</v>
      </c>
      <c r="J70" s="579" t="s">
        <v>4518</v>
      </c>
      <c r="K70" s="579" t="s">
        <v>5172</v>
      </c>
      <c r="L70" s="165"/>
      <c r="M70" s="212"/>
    </row>
    <row r="71" spans="1:13" ht="15.5" x14ac:dyDescent="0.35">
      <c r="A71" s="208">
        <f t="shared" si="2"/>
        <v>68</v>
      </c>
      <c r="B71" s="212" t="str">
        <f t="shared" ca="1" si="3"/>
        <v>Globale Bewertung - Gold Award</v>
      </c>
      <c r="C71" s="210">
        <v>68</v>
      </c>
      <c r="D71" s="212" t="s">
        <v>1788</v>
      </c>
      <c r="E71" s="212" t="s">
        <v>3004</v>
      </c>
      <c r="F71" s="212" t="s">
        <v>3258</v>
      </c>
      <c r="G71" s="212" t="s">
        <v>1818</v>
      </c>
      <c r="H71" s="165" t="s">
        <v>2489</v>
      </c>
      <c r="I71" s="165" t="s">
        <v>4012</v>
      </c>
      <c r="J71" s="579" t="s">
        <v>4519</v>
      </c>
      <c r="K71" s="579" t="s">
        <v>5173</v>
      </c>
      <c r="L71" s="165"/>
      <c r="M71" s="212"/>
    </row>
    <row r="72" spans="1:13" ht="46.5" x14ac:dyDescent="0.35">
      <c r="A72" s="208">
        <f t="shared" si="2"/>
        <v>69</v>
      </c>
      <c r="B72" s="212" t="str">
        <f t="shared" ca="1" si="3"/>
        <v>Das ESPA Arbeitsblatt verwendet Macros. Bitte das Arbeitsblatt schließen, Macros zulassen und neu anschließend erneut öffnen.</v>
      </c>
      <c r="C72" s="210">
        <v>69</v>
      </c>
      <c r="D72" s="212" t="s">
        <v>2536</v>
      </c>
      <c r="E72" s="212" t="s">
        <v>2525</v>
      </c>
      <c r="F72" s="212" t="s">
        <v>3259</v>
      </c>
      <c r="G72" s="212" t="s">
        <v>1819</v>
      </c>
      <c r="H72" s="165" t="s">
        <v>2490</v>
      </c>
      <c r="I72" s="165" t="s">
        <v>4013</v>
      </c>
      <c r="J72" s="579" t="s">
        <v>4520</v>
      </c>
      <c r="K72" s="579" t="s">
        <v>5174</v>
      </c>
      <c r="L72" s="165"/>
      <c r="M72" s="212"/>
    </row>
    <row r="73" spans="1:13" x14ac:dyDescent="0.35">
      <c r="A73" s="208">
        <f t="shared" si="2"/>
        <v>70</v>
      </c>
      <c r="B73" s="165" t="str">
        <f t="shared" ca="1" si="3"/>
        <v>Baujahr</v>
      </c>
      <c r="C73" s="208">
        <v>70</v>
      </c>
      <c r="D73" s="165" t="s">
        <v>1757</v>
      </c>
      <c r="E73" s="165" t="s">
        <v>2526</v>
      </c>
      <c r="F73" s="165" t="s">
        <v>3260</v>
      </c>
      <c r="G73" s="165" t="s">
        <v>2553</v>
      </c>
      <c r="H73" s="165" t="s">
        <v>2493</v>
      </c>
      <c r="I73" s="165" t="s">
        <v>4014</v>
      </c>
      <c r="J73" s="580" t="s">
        <v>4521</v>
      </c>
      <c r="K73" s="580" t="s">
        <v>5175</v>
      </c>
      <c r="L73" s="165"/>
      <c r="M73" s="165"/>
    </row>
    <row r="74" spans="1:13" x14ac:dyDescent="0.35">
      <c r="A74" s="208">
        <f t="shared" si="2"/>
        <v>71</v>
      </c>
      <c r="B74" s="165" t="str">
        <f t="shared" ca="1" si="3"/>
        <v>Bauart</v>
      </c>
      <c r="C74" s="208">
        <v>71</v>
      </c>
      <c r="D74" s="165" t="s">
        <v>2492</v>
      </c>
      <c r="E74" s="165" t="s">
        <v>2527</v>
      </c>
      <c r="F74" s="165" t="s">
        <v>3261</v>
      </c>
      <c r="G74" s="165" t="s">
        <v>2554</v>
      </c>
      <c r="H74" s="165" t="s">
        <v>2494</v>
      </c>
      <c r="I74" s="165" t="s">
        <v>4015</v>
      </c>
      <c r="J74" s="580" t="s">
        <v>4522</v>
      </c>
      <c r="K74" s="580" t="s">
        <v>5176</v>
      </c>
      <c r="L74" s="165"/>
      <c r="M74" s="165"/>
    </row>
    <row r="75" spans="1:13" x14ac:dyDescent="0.35">
      <c r="A75" s="208">
        <f t="shared" si="2"/>
        <v>72</v>
      </c>
      <c r="B75" s="165" t="str">
        <f t="shared" ca="1" si="3"/>
        <v>Typ</v>
      </c>
      <c r="C75" s="208">
        <v>72</v>
      </c>
      <c r="D75" s="165" t="s">
        <v>1747</v>
      </c>
      <c r="E75" s="165" t="s">
        <v>1747</v>
      </c>
      <c r="F75" s="165" t="s">
        <v>1747</v>
      </c>
      <c r="G75" s="165" t="s">
        <v>2555</v>
      </c>
      <c r="H75" s="165" t="s">
        <v>2495</v>
      </c>
      <c r="I75" s="165" t="s">
        <v>4016</v>
      </c>
      <c r="J75" s="580" t="s">
        <v>2555</v>
      </c>
      <c r="K75" s="580" t="s">
        <v>2495</v>
      </c>
      <c r="L75" s="165"/>
      <c r="M75" s="165"/>
    </row>
    <row r="76" spans="1:13" x14ac:dyDescent="0.35">
      <c r="A76" s="208">
        <f t="shared" si="2"/>
        <v>73</v>
      </c>
      <c r="B76" s="165" t="str">
        <f t="shared" ca="1" si="3"/>
        <v>Zutrittskontrolle</v>
      </c>
      <c r="C76" s="208">
        <v>73</v>
      </c>
      <c r="D76" s="165" t="s">
        <v>2496</v>
      </c>
      <c r="E76" s="165" t="s">
        <v>2528</v>
      </c>
      <c r="F76" s="165" t="s">
        <v>3262</v>
      </c>
      <c r="G76" s="165" t="s">
        <v>2556</v>
      </c>
      <c r="H76" s="165" t="s">
        <v>2497</v>
      </c>
      <c r="I76" s="165" t="s">
        <v>4017</v>
      </c>
      <c r="J76" s="580" t="s">
        <v>4523</v>
      </c>
      <c r="K76" s="580" t="s">
        <v>5177</v>
      </c>
      <c r="L76" s="165"/>
      <c r="M76" s="165"/>
    </row>
    <row r="77" spans="1:13" x14ac:dyDescent="0.35">
      <c r="A77" s="208">
        <f t="shared" si="2"/>
        <v>74</v>
      </c>
      <c r="B77" s="165" t="str">
        <f t="shared" ca="1" si="3"/>
        <v>Anzahl Fahrstühle</v>
      </c>
      <c r="C77" s="208">
        <v>74</v>
      </c>
      <c r="D77" s="165" t="s">
        <v>1755</v>
      </c>
      <c r="E77" s="165" t="s">
        <v>2529</v>
      </c>
      <c r="F77" s="165" t="s">
        <v>3263</v>
      </c>
      <c r="G77" s="165" t="s">
        <v>2557</v>
      </c>
      <c r="H77" s="165" t="s">
        <v>2498</v>
      </c>
      <c r="I77" s="165" t="s">
        <v>4018</v>
      </c>
      <c r="J77" s="580" t="s">
        <v>4524</v>
      </c>
      <c r="K77" s="580" t="s">
        <v>5178</v>
      </c>
      <c r="L77" s="165"/>
      <c r="M77" s="165"/>
    </row>
    <row r="78" spans="1:13" x14ac:dyDescent="0.35">
      <c r="A78" s="208">
        <f t="shared" si="2"/>
        <v>75</v>
      </c>
      <c r="B78" s="165" t="str">
        <f t="shared" ca="1" si="3"/>
        <v>Anzahl Ebenen</v>
      </c>
      <c r="C78" s="208">
        <v>75</v>
      </c>
      <c r="D78" s="165" t="s">
        <v>1743</v>
      </c>
      <c r="E78" s="165" t="s">
        <v>2530</v>
      </c>
      <c r="F78" s="165" t="s">
        <v>3264</v>
      </c>
      <c r="G78" s="165" t="s">
        <v>2558</v>
      </c>
      <c r="H78" s="165" t="s">
        <v>2499</v>
      </c>
      <c r="I78" s="165" t="s">
        <v>4019</v>
      </c>
      <c r="J78" s="580" t="s">
        <v>4525</v>
      </c>
      <c r="K78" s="580" t="s">
        <v>5179</v>
      </c>
      <c r="L78" s="165"/>
      <c r="M78" s="165"/>
    </row>
    <row r="79" spans="1:13" x14ac:dyDescent="0.35">
      <c r="A79" s="208">
        <f t="shared" si="2"/>
        <v>76</v>
      </c>
      <c r="B79" s="165" t="str">
        <f t="shared" ca="1" si="3"/>
        <v>Stammdaten Einrichtung</v>
      </c>
      <c r="C79" s="208">
        <v>76</v>
      </c>
      <c r="D79" s="165" t="s">
        <v>1742</v>
      </c>
      <c r="E79" s="165" t="s">
        <v>2531</v>
      </c>
      <c r="F79" s="165" t="s">
        <v>3265</v>
      </c>
      <c r="G79" s="165" t="s">
        <v>2559</v>
      </c>
      <c r="H79" s="165" t="s">
        <v>2501</v>
      </c>
      <c r="I79" s="165" t="s">
        <v>4020</v>
      </c>
      <c r="J79" s="580" t="s">
        <v>4526</v>
      </c>
      <c r="K79" s="580" t="s">
        <v>5180</v>
      </c>
      <c r="L79" s="165"/>
      <c r="M79" s="165"/>
    </row>
    <row r="80" spans="1:13" x14ac:dyDescent="0.35">
      <c r="B80" s="116"/>
      <c r="D80" s="116"/>
      <c r="E80" s="116"/>
      <c r="F80" s="116"/>
      <c r="G80" s="116"/>
      <c r="H80" s="116"/>
      <c r="I80" s="116"/>
      <c r="J80" s="116"/>
      <c r="K80" s="116"/>
      <c r="L80" s="116"/>
      <c r="M80" s="116"/>
    </row>
    <row r="81" spans="2:13" x14ac:dyDescent="0.35">
      <c r="B81" s="116"/>
      <c r="D81" s="116"/>
      <c r="E81" s="116"/>
      <c r="F81" s="116"/>
      <c r="G81" s="116"/>
      <c r="H81" s="116"/>
      <c r="I81" s="116"/>
      <c r="J81" s="116"/>
      <c r="K81" s="116"/>
      <c r="L81" s="116"/>
      <c r="M81" s="116"/>
    </row>
    <row r="82" spans="2:13" x14ac:dyDescent="0.35">
      <c r="B82" s="116"/>
      <c r="D82" s="116"/>
      <c r="E82" s="116"/>
      <c r="F82" s="116"/>
      <c r="G82" s="116"/>
      <c r="H82" s="116"/>
      <c r="I82" s="116"/>
      <c r="J82" s="116"/>
      <c r="K82" s="116"/>
      <c r="L82" s="116"/>
      <c r="M82" s="116"/>
    </row>
    <row r="83" spans="2:13" x14ac:dyDescent="0.35">
      <c r="B83" s="116"/>
      <c r="D83" s="116"/>
      <c r="E83" s="116"/>
      <c r="F83" s="116"/>
      <c r="G83" s="116"/>
      <c r="H83" s="116"/>
      <c r="I83" s="116"/>
      <c r="J83" s="116"/>
      <c r="K83" s="116"/>
      <c r="L83" s="116"/>
      <c r="M83" s="116"/>
    </row>
    <row r="84" spans="2:13" x14ac:dyDescent="0.35">
      <c r="B84" s="116"/>
      <c r="D84" s="116"/>
      <c r="E84" s="116"/>
      <c r="F84" s="116"/>
      <c r="G84" s="116"/>
      <c r="H84" s="116"/>
      <c r="I84" s="116"/>
      <c r="J84" s="116"/>
      <c r="K84" s="116"/>
      <c r="L84" s="116"/>
      <c r="M84" s="116"/>
    </row>
    <row r="85" spans="2:13" x14ac:dyDescent="0.35">
      <c r="B85" s="116"/>
      <c r="D85" s="116"/>
      <c r="E85" s="116"/>
      <c r="F85" s="116"/>
      <c r="G85" s="116"/>
      <c r="H85" s="116"/>
      <c r="I85" s="116"/>
      <c r="J85" s="116"/>
      <c r="K85" s="116"/>
      <c r="L85" s="116"/>
      <c r="M85" s="116"/>
    </row>
    <row r="86" spans="2:13" x14ac:dyDescent="0.35">
      <c r="B86" s="116"/>
      <c r="D86" s="116"/>
      <c r="E86" s="116"/>
      <c r="F86" s="116"/>
      <c r="G86" s="116"/>
      <c r="H86" s="116"/>
      <c r="I86" s="116"/>
      <c r="J86" s="116"/>
      <c r="K86" s="116"/>
      <c r="L86" s="116"/>
      <c r="M86" s="116"/>
    </row>
    <row r="87" spans="2:13" x14ac:dyDescent="0.35">
      <c r="B87" s="116"/>
      <c r="D87" s="116"/>
      <c r="E87" s="116"/>
      <c r="F87" s="116"/>
      <c r="G87" s="116"/>
      <c r="H87" s="116"/>
      <c r="I87" s="116"/>
      <c r="J87" s="116"/>
      <c r="K87" s="116"/>
    </row>
    <row r="88" spans="2:13" x14ac:dyDescent="0.35">
      <c r="B88" s="116"/>
      <c r="D88" s="116"/>
      <c r="E88" s="116"/>
      <c r="F88" s="116"/>
      <c r="G88" s="116"/>
      <c r="H88" s="116"/>
      <c r="I88" s="116"/>
      <c r="J88" s="116"/>
      <c r="K88" s="116"/>
    </row>
    <row r="89" spans="2:13" x14ac:dyDescent="0.35">
      <c r="B89" s="116"/>
      <c r="D89" s="116"/>
      <c r="E89" s="116"/>
      <c r="F89" s="116"/>
      <c r="G89" s="116"/>
      <c r="H89" s="116"/>
      <c r="I89" s="116"/>
      <c r="J89" s="116"/>
      <c r="K89" s="116"/>
    </row>
    <row r="90" spans="2:13" x14ac:dyDescent="0.35">
      <c r="B90" s="116"/>
      <c r="D90" s="116"/>
      <c r="E90" s="116"/>
      <c r="F90" s="116"/>
      <c r="G90" s="116"/>
      <c r="H90" s="116"/>
      <c r="I90" s="116"/>
      <c r="J90" s="116"/>
      <c r="K90" s="116"/>
    </row>
    <row r="91" spans="2:13" x14ac:dyDescent="0.35">
      <c r="B91" s="116"/>
      <c r="D91" s="116"/>
      <c r="E91" s="116"/>
      <c r="F91" s="116"/>
      <c r="G91" s="116"/>
      <c r="H91" s="116"/>
      <c r="I91" s="116"/>
      <c r="J91" s="116"/>
      <c r="K91" s="116"/>
    </row>
    <row r="92" spans="2:13" x14ac:dyDescent="0.35">
      <c r="B92" s="116"/>
      <c r="D92" s="116"/>
      <c r="E92" s="116"/>
      <c r="F92" s="116"/>
      <c r="G92" s="116"/>
      <c r="H92" s="116"/>
      <c r="I92" s="116"/>
      <c r="J92" s="116"/>
      <c r="K92" s="116"/>
    </row>
    <row r="93" spans="2:13" x14ac:dyDescent="0.35">
      <c r="B93" s="116"/>
      <c r="D93" s="118"/>
      <c r="E93" s="118"/>
      <c r="F93" s="118"/>
      <c r="G93" s="118"/>
      <c r="H93" s="118"/>
      <c r="I93" s="118"/>
      <c r="J93" s="118"/>
      <c r="K93" s="118"/>
    </row>
    <row r="94" spans="2:13" x14ac:dyDescent="0.35">
      <c r="B94" s="116"/>
      <c r="D94" s="118"/>
      <c r="E94" s="118"/>
      <c r="F94" s="118"/>
      <c r="G94" s="118"/>
      <c r="H94" s="118"/>
      <c r="I94" s="118"/>
      <c r="J94" s="118"/>
      <c r="K94" s="118"/>
    </row>
    <row r="95" spans="2:13" x14ac:dyDescent="0.35">
      <c r="B95" s="116"/>
      <c r="D95" s="118"/>
      <c r="E95" s="118"/>
      <c r="F95" s="118"/>
      <c r="G95" s="118"/>
      <c r="H95" s="118"/>
      <c r="I95" s="118"/>
      <c r="J95" s="118"/>
      <c r="K95" s="118"/>
    </row>
    <row r="96" spans="2:13" x14ac:dyDescent="0.35">
      <c r="B96" s="116"/>
      <c r="D96" s="119"/>
      <c r="E96" s="119"/>
      <c r="F96" s="119"/>
      <c r="G96" s="119"/>
      <c r="H96" s="119"/>
      <c r="I96" s="119"/>
      <c r="J96" s="119"/>
      <c r="K96" s="119"/>
    </row>
    <row r="97" spans="2:11" x14ac:dyDescent="0.35">
      <c r="B97" s="116"/>
      <c r="D97" s="120"/>
      <c r="E97" s="120"/>
      <c r="F97" s="120"/>
      <c r="G97" s="120"/>
      <c r="H97" s="120"/>
      <c r="I97" s="120"/>
      <c r="J97" s="120"/>
      <c r="K97" s="120"/>
    </row>
    <row r="98" spans="2:11" x14ac:dyDescent="0.35">
      <c r="B98" s="116"/>
      <c r="D98" s="118"/>
      <c r="E98" s="118"/>
      <c r="F98" s="118"/>
      <c r="G98" s="118"/>
      <c r="H98" s="118"/>
      <c r="I98" s="118"/>
      <c r="J98" s="118"/>
      <c r="K98" s="118"/>
    </row>
    <row r="99" spans="2:11" x14ac:dyDescent="0.35">
      <c r="B99" s="116"/>
      <c r="D99" s="118"/>
      <c r="E99" s="118"/>
      <c r="F99" s="118"/>
      <c r="G99" s="118"/>
      <c r="H99" s="118"/>
      <c r="I99" s="118"/>
      <c r="J99" s="118"/>
      <c r="K99" s="118"/>
    </row>
    <row r="100" spans="2:11" x14ac:dyDescent="0.35">
      <c r="B100" s="116"/>
      <c r="D100" s="118"/>
      <c r="E100" s="118"/>
      <c r="F100" s="118"/>
      <c r="G100" s="118"/>
      <c r="H100" s="118"/>
      <c r="I100" s="118"/>
      <c r="J100" s="118"/>
      <c r="K100" s="118"/>
    </row>
    <row r="101" spans="2:11" x14ac:dyDescent="0.35">
      <c r="B101" s="116"/>
      <c r="D101" s="116"/>
      <c r="E101" s="116"/>
      <c r="F101" s="116"/>
      <c r="G101" s="116"/>
      <c r="H101" s="116"/>
      <c r="I101" s="116"/>
      <c r="J101" s="116"/>
      <c r="K101" s="116"/>
    </row>
    <row r="102" spans="2:11" x14ac:dyDescent="0.35">
      <c r="B102" s="116"/>
      <c r="D102" s="116"/>
      <c r="E102" s="116"/>
      <c r="F102" s="116"/>
      <c r="G102" s="116"/>
      <c r="H102" s="116"/>
      <c r="I102" s="116"/>
      <c r="J102" s="116"/>
      <c r="K102" s="116"/>
    </row>
    <row r="103" spans="2:11" x14ac:dyDescent="0.35">
      <c r="B103" s="116"/>
      <c r="D103" s="116"/>
      <c r="E103" s="116"/>
      <c r="F103" s="116"/>
      <c r="G103" s="116"/>
      <c r="H103" s="116"/>
      <c r="I103" s="116"/>
      <c r="J103" s="116"/>
      <c r="K103" s="116"/>
    </row>
    <row r="104" spans="2:11" x14ac:dyDescent="0.35">
      <c r="B104" s="116"/>
      <c r="D104" s="116"/>
      <c r="E104" s="116"/>
      <c r="F104" s="116"/>
      <c r="G104" s="116"/>
      <c r="H104" s="116"/>
      <c r="I104" s="116"/>
      <c r="J104" s="116"/>
      <c r="K104" s="116"/>
    </row>
    <row r="105" spans="2:11" x14ac:dyDescent="0.35">
      <c r="B105" s="116"/>
      <c r="D105" s="116"/>
      <c r="E105" s="116"/>
      <c r="F105" s="116"/>
      <c r="G105" s="116"/>
      <c r="H105" s="116"/>
      <c r="I105" s="116"/>
      <c r="J105" s="116"/>
      <c r="K105" s="116"/>
    </row>
    <row r="106" spans="2:11" x14ac:dyDescent="0.35">
      <c r="B106" s="116"/>
      <c r="D106" s="116"/>
      <c r="E106" s="116"/>
      <c r="F106" s="116"/>
      <c r="G106" s="116"/>
      <c r="H106" s="116"/>
      <c r="I106" s="116"/>
      <c r="J106" s="116"/>
      <c r="K106" s="116"/>
    </row>
    <row r="107" spans="2:11" x14ac:dyDescent="0.35">
      <c r="B107" s="116"/>
      <c r="D107" s="116"/>
      <c r="E107" s="116"/>
      <c r="F107" s="116"/>
      <c r="G107" s="116"/>
      <c r="H107" s="116"/>
      <c r="I107" s="116"/>
      <c r="J107" s="116"/>
      <c r="K107" s="116"/>
    </row>
    <row r="108" spans="2:11" x14ac:dyDescent="0.35">
      <c r="B108" s="116"/>
      <c r="D108" s="116"/>
      <c r="E108" s="116"/>
      <c r="F108" s="116"/>
      <c r="G108" s="116"/>
      <c r="H108" s="116"/>
      <c r="I108" s="116"/>
      <c r="J108" s="116"/>
      <c r="K108" s="116"/>
    </row>
    <row r="109" spans="2:11" x14ac:dyDescent="0.35">
      <c r="B109" s="116"/>
      <c r="D109" s="116"/>
      <c r="E109" s="116"/>
      <c r="F109" s="116"/>
      <c r="G109" s="116"/>
      <c r="H109" s="116"/>
      <c r="I109" s="116"/>
      <c r="J109" s="116"/>
      <c r="K109" s="116"/>
    </row>
    <row r="110" spans="2:11" x14ac:dyDescent="0.35">
      <c r="B110" s="116"/>
      <c r="D110" s="116"/>
      <c r="E110" s="116"/>
      <c r="F110" s="116"/>
      <c r="G110" s="116"/>
      <c r="H110" s="116"/>
      <c r="I110" s="116"/>
      <c r="J110" s="116"/>
      <c r="K110" s="116"/>
    </row>
    <row r="111" spans="2:11" x14ac:dyDescent="0.35">
      <c r="B111" s="116"/>
      <c r="D111" s="116"/>
      <c r="E111" s="116"/>
      <c r="F111" s="116"/>
      <c r="G111" s="116"/>
      <c r="H111" s="116"/>
      <c r="I111" s="116"/>
      <c r="J111" s="116"/>
      <c r="K111" s="116"/>
    </row>
    <row r="112" spans="2:11" x14ac:dyDescent="0.35">
      <c r="B112" s="116"/>
      <c r="D112" s="116"/>
      <c r="E112" s="116"/>
      <c r="F112" s="116"/>
      <c r="G112" s="116"/>
      <c r="H112" s="116"/>
      <c r="I112" s="116"/>
      <c r="J112" s="116"/>
      <c r="K112" s="116"/>
    </row>
    <row r="113" spans="2:11" x14ac:dyDescent="0.35">
      <c r="B113" s="116"/>
      <c r="D113" s="116"/>
      <c r="E113" s="116"/>
      <c r="F113" s="116"/>
      <c r="G113" s="116"/>
      <c r="H113" s="116"/>
      <c r="I113" s="116"/>
      <c r="J113" s="116"/>
      <c r="K113" s="116"/>
    </row>
    <row r="114" spans="2:11" x14ac:dyDescent="0.35">
      <c r="B114" s="116"/>
      <c r="D114" s="116"/>
      <c r="E114" s="116"/>
      <c r="F114" s="116"/>
      <c r="G114" s="116"/>
      <c r="H114" s="116"/>
      <c r="I114" s="116"/>
      <c r="J114" s="116"/>
      <c r="K114" s="116"/>
    </row>
    <row r="115" spans="2:11" x14ac:dyDescent="0.35">
      <c r="B115" s="116"/>
      <c r="D115" s="116"/>
      <c r="E115" s="116"/>
      <c r="F115" s="116"/>
      <c r="G115" s="116"/>
      <c r="H115" s="116"/>
      <c r="I115" s="116"/>
      <c r="J115" s="116"/>
      <c r="K115" s="116"/>
    </row>
    <row r="116" spans="2:11" x14ac:dyDescent="0.35">
      <c r="B116" s="116"/>
      <c r="D116" s="116"/>
      <c r="E116" s="116"/>
      <c r="F116" s="116"/>
      <c r="G116" s="116"/>
      <c r="H116" s="116"/>
      <c r="I116" s="116"/>
      <c r="J116" s="116"/>
      <c r="K116" s="116"/>
    </row>
    <row r="117" spans="2:11" x14ac:dyDescent="0.35">
      <c r="B117" s="116"/>
      <c r="D117" s="116"/>
      <c r="E117" s="116"/>
      <c r="F117" s="116"/>
      <c r="G117" s="116"/>
      <c r="H117" s="116"/>
      <c r="I117" s="116"/>
      <c r="J117" s="116"/>
      <c r="K117" s="116"/>
    </row>
    <row r="118" spans="2:11" x14ac:dyDescent="0.35">
      <c r="B118" s="116"/>
      <c r="D118" s="116"/>
      <c r="E118" s="116"/>
      <c r="F118" s="116"/>
      <c r="G118" s="116"/>
      <c r="H118" s="116"/>
      <c r="I118" s="116"/>
      <c r="J118" s="116"/>
      <c r="K118" s="116"/>
    </row>
    <row r="119" spans="2:11" x14ac:dyDescent="0.35">
      <c r="B119" s="116"/>
      <c r="D119" s="116"/>
      <c r="E119" s="116"/>
      <c r="F119" s="116"/>
      <c r="G119" s="116"/>
      <c r="H119" s="116"/>
      <c r="I119" s="116"/>
      <c r="J119" s="116"/>
      <c r="K119" s="116"/>
    </row>
    <row r="120" spans="2:11" x14ac:dyDescent="0.35">
      <c r="B120" s="116"/>
      <c r="D120" s="116"/>
      <c r="E120" s="116"/>
      <c r="F120" s="116"/>
      <c r="G120" s="116"/>
      <c r="H120" s="116"/>
      <c r="I120" s="116"/>
      <c r="J120" s="116"/>
      <c r="K120" s="116"/>
    </row>
    <row r="121" spans="2:11" x14ac:dyDescent="0.35">
      <c r="B121" s="116"/>
      <c r="D121" s="116"/>
      <c r="E121" s="116"/>
      <c r="F121" s="116"/>
      <c r="G121" s="116"/>
      <c r="H121" s="116"/>
      <c r="I121" s="116"/>
      <c r="J121" s="116"/>
      <c r="K121" s="116"/>
    </row>
    <row r="122" spans="2:11" x14ac:dyDescent="0.35">
      <c r="B122" s="116"/>
      <c r="D122" s="116"/>
      <c r="E122" s="116"/>
      <c r="F122" s="116"/>
      <c r="G122" s="116"/>
      <c r="H122" s="116"/>
      <c r="I122" s="116"/>
      <c r="J122" s="116"/>
      <c r="K122" s="116"/>
    </row>
    <row r="123" spans="2:11" x14ac:dyDescent="0.35">
      <c r="B123" s="116"/>
      <c r="D123" s="116"/>
      <c r="E123" s="116"/>
      <c r="F123" s="116"/>
      <c r="G123" s="116"/>
      <c r="H123" s="116"/>
      <c r="I123" s="116"/>
      <c r="J123" s="116"/>
      <c r="K123" s="116"/>
    </row>
    <row r="124" spans="2:11" x14ac:dyDescent="0.35">
      <c r="B124" s="116"/>
      <c r="D124" s="116"/>
      <c r="E124" s="116"/>
      <c r="F124" s="116"/>
      <c r="G124" s="116"/>
      <c r="H124" s="116"/>
      <c r="I124" s="116"/>
      <c r="J124" s="116"/>
      <c r="K124" s="116"/>
    </row>
    <row r="125" spans="2:11" x14ac:dyDescent="0.35">
      <c r="B125" s="116"/>
      <c r="D125" s="118"/>
      <c r="E125" s="118"/>
      <c r="F125" s="118"/>
      <c r="G125" s="118"/>
      <c r="H125" s="118"/>
      <c r="I125" s="118"/>
      <c r="J125" s="118"/>
      <c r="K125" s="118"/>
    </row>
    <row r="126" spans="2:11" x14ac:dyDescent="0.35">
      <c r="B126" s="116"/>
      <c r="D126" s="119"/>
      <c r="E126" s="119"/>
      <c r="F126" s="119"/>
      <c r="G126" s="119"/>
      <c r="H126" s="119"/>
      <c r="I126" s="119"/>
      <c r="J126" s="119"/>
      <c r="K126" s="119"/>
    </row>
    <row r="127" spans="2:11" x14ac:dyDescent="0.35">
      <c r="B127" s="116"/>
      <c r="D127" s="120"/>
      <c r="E127" s="120"/>
      <c r="F127" s="120"/>
      <c r="G127" s="120"/>
      <c r="H127" s="120"/>
      <c r="I127" s="120"/>
      <c r="J127" s="120"/>
      <c r="K127" s="120"/>
    </row>
    <row r="128" spans="2:11" x14ac:dyDescent="0.35">
      <c r="B128" s="116"/>
      <c r="D128" s="118"/>
      <c r="E128" s="118"/>
      <c r="F128" s="118"/>
      <c r="G128" s="118"/>
      <c r="H128" s="118"/>
      <c r="I128" s="118"/>
      <c r="J128" s="118"/>
      <c r="K128" s="118"/>
    </row>
    <row r="129" spans="2:11" x14ac:dyDescent="0.35">
      <c r="B129" s="116"/>
      <c r="D129" s="121"/>
      <c r="E129" s="121"/>
      <c r="F129" s="121"/>
      <c r="G129" s="121"/>
      <c r="H129" s="121"/>
      <c r="I129" s="121"/>
      <c r="J129" s="121"/>
      <c r="K129" s="121"/>
    </row>
    <row r="130" spans="2:11" x14ac:dyDescent="0.35">
      <c r="B130" s="116"/>
      <c r="D130" s="121"/>
      <c r="E130" s="121"/>
      <c r="F130" s="121"/>
      <c r="G130" s="121"/>
      <c r="H130" s="121"/>
      <c r="I130" s="121"/>
      <c r="J130" s="121"/>
      <c r="K130" s="121"/>
    </row>
    <row r="131" spans="2:11" x14ac:dyDescent="0.35">
      <c r="B131" s="116"/>
      <c r="D131" s="121"/>
      <c r="E131" s="121"/>
      <c r="F131" s="121"/>
      <c r="G131" s="121"/>
      <c r="H131" s="121"/>
      <c r="I131" s="121"/>
      <c r="J131" s="121"/>
      <c r="K131" s="121"/>
    </row>
    <row r="132" spans="2:11" x14ac:dyDescent="0.35">
      <c r="B132" s="116"/>
      <c r="D132" s="121"/>
      <c r="E132" s="121"/>
      <c r="F132" s="121"/>
      <c r="G132" s="121"/>
      <c r="H132" s="121"/>
      <c r="I132" s="121"/>
      <c r="J132" s="121"/>
      <c r="K132" s="121"/>
    </row>
    <row r="133" spans="2:11" x14ac:dyDescent="0.35">
      <c r="B133" s="116"/>
      <c r="D133" s="118"/>
      <c r="E133" s="118"/>
      <c r="F133" s="118"/>
      <c r="G133" s="118"/>
      <c r="H133" s="118"/>
      <c r="I133" s="118"/>
      <c r="J133" s="118"/>
      <c r="K133" s="118"/>
    </row>
    <row r="134" spans="2:11" x14ac:dyDescent="0.35">
      <c r="B134" s="116"/>
      <c r="D134" s="116"/>
      <c r="E134" s="116"/>
      <c r="F134" s="116"/>
      <c r="G134" s="116"/>
      <c r="H134" s="116"/>
      <c r="I134" s="116"/>
      <c r="J134" s="116"/>
      <c r="K134" s="116"/>
    </row>
    <row r="135" spans="2:11" x14ac:dyDescent="0.35">
      <c r="B135" s="116"/>
      <c r="D135" s="116"/>
      <c r="E135" s="116"/>
      <c r="F135" s="116"/>
      <c r="G135" s="116"/>
      <c r="H135" s="116"/>
      <c r="I135" s="116"/>
      <c r="J135" s="116"/>
      <c r="K135" s="116"/>
    </row>
    <row r="136" spans="2:11" x14ac:dyDescent="0.35">
      <c r="B136" s="116"/>
      <c r="D136" s="116"/>
      <c r="E136" s="116"/>
      <c r="F136" s="116"/>
      <c r="G136" s="116"/>
      <c r="H136" s="116"/>
      <c r="I136" s="116"/>
      <c r="J136" s="116"/>
      <c r="K136" s="116"/>
    </row>
    <row r="137" spans="2:11" x14ac:dyDescent="0.35">
      <c r="B137" s="116"/>
      <c r="D137" s="116"/>
      <c r="E137" s="116"/>
      <c r="F137" s="116"/>
      <c r="G137" s="116"/>
      <c r="H137" s="116"/>
      <c r="I137" s="116"/>
      <c r="J137" s="116"/>
      <c r="K137" s="116"/>
    </row>
    <row r="138" spans="2:11" x14ac:dyDescent="0.35">
      <c r="B138" s="116"/>
      <c r="D138" s="116"/>
      <c r="E138" s="116"/>
      <c r="F138" s="116"/>
      <c r="G138" s="116"/>
      <c r="H138" s="116"/>
      <c r="I138" s="116"/>
      <c r="J138" s="116"/>
      <c r="K138" s="116"/>
    </row>
    <row r="139" spans="2:11" x14ac:dyDescent="0.35">
      <c r="B139" s="116"/>
      <c r="D139" s="116"/>
      <c r="E139" s="116"/>
      <c r="F139" s="116"/>
      <c r="G139" s="116"/>
      <c r="H139" s="116"/>
      <c r="I139" s="116"/>
      <c r="J139" s="116"/>
      <c r="K139" s="116"/>
    </row>
    <row r="140" spans="2:11" x14ac:dyDescent="0.35">
      <c r="B140" s="116"/>
      <c r="D140" s="116"/>
      <c r="E140" s="116"/>
      <c r="F140" s="116"/>
      <c r="G140" s="116"/>
      <c r="H140" s="116"/>
      <c r="I140" s="116"/>
      <c r="J140" s="116"/>
      <c r="K140" s="116"/>
    </row>
    <row r="141" spans="2:11" x14ac:dyDescent="0.35">
      <c r="B141" s="116"/>
      <c r="D141" s="116"/>
      <c r="E141" s="116"/>
      <c r="F141" s="116"/>
      <c r="G141" s="116"/>
      <c r="H141" s="116"/>
      <c r="I141" s="116"/>
      <c r="J141" s="116"/>
      <c r="K141" s="116"/>
    </row>
    <row r="142" spans="2:11" x14ac:dyDescent="0.35">
      <c r="B142" s="116"/>
      <c r="D142" s="116"/>
      <c r="E142" s="116"/>
      <c r="F142" s="116"/>
      <c r="G142" s="116"/>
      <c r="H142" s="116"/>
      <c r="I142" s="116"/>
      <c r="J142" s="116"/>
      <c r="K142" s="116"/>
    </row>
    <row r="143" spans="2:11" x14ac:dyDescent="0.35">
      <c r="B143" s="116"/>
      <c r="D143" s="116"/>
      <c r="E143" s="116"/>
      <c r="F143" s="116"/>
      <c r="G143" s="116"/>
      <c r="H143" s="116"/>
      <c r="I143" s="116"/>
      <c r="J143" s="116"/>
      <c r="K143" s="116"/>
    </row>
    <row r="144" spans="2:11" x14ac:dyDescent="0.35">
      <c r="B144" s="116"/>
      <c r="D144" s="116"/>
      <c r="E144" s="116"/>
      <c r="F144" s="116"/>
      <c r="G144" s="116"/>
      <c r="H144" s="116"/>
      <c r="I144" s="116"/>
      <c r="J144" s="116"/>
      <c r="K144" s="116"/>
    </row>
    <row r="145" spans="2:11" x14ac:dyDescent="0.35">
      <c r="B145" s="116"/>
      <c r="D145" s="116"/>
      <c r="E145" s="116"/>
      <c r="F145" s="116"/>
      <c r="G145" s="116"/>
      <c r="H145" s="116"/>
      <c r="I145" s="116"/>
      <c r="J145" s="116"/>
      <c r="K145" s="116"/>
    </row>
    <row r="146" spans="2:11" x14ac:dyDescent="0.35">
      <c r="B146" s="116"/>
      <c r="D146" s="116"/>
      <c r="E146" s="116"/>
      <c r="F146" s="116"/>
      <c r="G146" s="116"/>
      <c r="H146" s="116"/>
      <c r="I146" s="116"/>
      <c r="J146" s="116"/>
      <c r="K146" s="116"/>
    </row>
    <row r="147" spans="2:11" x14ac:dyDescent="0.35">
      <c r="B147" s="116"/>
      <c r="D147" s="116"/>
      <c r="E147" s="116"/>
      <c r="F147" s="116"/>
      <c r="G147" s="116"/>
      <c r="H147" s="116"/>
      <c r="I147" s="116"/>
      <c r="J147" s="116"/>
      <c r="K147" s="116"/>
    </row>
    <row r="148" spans="2:11" x14ac:dyDescent="0.35">
      <c r="B148" s="116"/>
      <c r="D148" s="116"/>
      <c r="E148" s="116"/>
      <c r="F148" s="116"/>
      <c r="G148" s="116"/>
      <c r="H148" s="116"/>
      <c r="I148" s="116"/>
      <c r="J148" s="116"/>
      <c r="K148" s="116"/>
    </row>
    <row r="149" spans="2:11" x14ac:dyDescent="0.35">
      <c r="B149" s="116"/>
      <c r="D149" s="116"/>
      <c r="E149" s="116"/>
      <c r="F149" s="116"/>
      <c r="G149" s="116"/>
      <c r="H149" s="116"/>
      <c r="I149" s="116"/>
      <c r="J149" s="116"/>
      <c r="K149" s="116"/>
    </row>
    <row r="150" spans="2:11" x14ac:dyDescent="0.35">
      <c r="B150" s="116"/>
      <c r="D150" s="116"/>
      <c r="E150" s="116"/>
      <c r="F150" s="116"/>
      <c r="G150" s="116"/>
      <c r="H150" s="116"/>
      <c r="I150" s="116"/>
      <c r="J150" s="116"/>
      <c r="K150" s="116"/>
    </row>
    <row r="151" spans="2:11" x14ac:dyDescent="0.35">
      <c r="B151" s="116"/>
      <c r="D151" s="116"/>
      <c r="E151" s="116"/>
      <c r="F151" s="116"/>
      <c r="G151" s="116"/>
      <c r="H151" s="116"/>
      <c r="I151" s="116"/>
      <c r="J151" s="116"/>
      <c r="K151" s="116"/>
    </row>
    <row r="152" spans="2:11" x14ac:dyDescent="0.35">
      <c r="B152" s="116"/>
      <c r="D152" s="116"/>
      <c r="E152" s="116"/>
      <c r="F152" s="116"/>
      <c r="G152" s="116"/>
      <c r="H152" s="116"/>
      <c r="I152" s="116"/>
      <c r="J152" s="116"/>
      <c r="K152" s="116"/>
    </row>
    <row r="153" spans="2:11" x14ac:dyDescent="0.35">
      <c r="B153" s="116"/>
      <c r="D153" s="116"/>
      <c r="E153" s="116"/>
      <c r="F153" s="116"/>
      <c r="G153" s="116"/>
      <c r="H153" s="116"/>
      <c r="I153" s="116"/>
      <c r="J153" s="116"/>
      <c r="K153" s="116"/>
    </row>
    <row r="154" spans="2:11" x14ac:dyDescent="0.35">
      <c r="B154" s="116"/>
      <c r="D154" s="116"/>
      <c r="E154" s="116"/>
      <c r="F154" s="116"/>
      <c r="G154" s="116"/>
      <c r="H154" s="116"/>
      <c r="I154" s="116"/>
      <c r="J154" s="116"/>
      <c r="K154" s="116"/>
    </row>
    <row r="155" spans="2:11" x14ac:dyDescent="0.35">
      <c r="B155" s="116"/>
      <c r="D155" s="116"/>
      <c r="E155" s="116"/>
      <c r="F155" s="116"/>
      <c r="G155" s="116"/>
      <c r="H155" s="116"/>
      <c r="I155" s="116"/>
      <c r="J155" s="116"/>
      <c r="K155" s="116"/>
    </row>
    <row r="156" spans="2:11" x14ac:dyDescent="0.35">
      <c r="B156" s="116"/>
      <c r="D156" s="118"/>
      <c r="E156" s="118"/>
      <c r="F156" s="118"/>
      <c r="G156" s="118"/>
      <c r="H156" s="118"/>
      <c r="I156" s="118"/>
      <c r="J156" s="118"/>
      <c r="K156" s="118"/>
    </row>
    <row r="157" spans="2:11" x14ac:dyDescent="0.35">
      <c r="B157" s="116"/>
      <c r="D157" s="121"/>
      <c r="E157" s="121"/>
      <c r="F157" s="121"/>
      <c r="G157" s="121"/>
      <c r="H157" s="121"/>
      <c r="I157" s="121"/>
      <c r="J157" s="121"/>
      <c r="K157" s="121"/>
    </row>
    <row r="158" spans="2:11" x14ac:dyDescent="0.35">
      <c r="B158" s="116"/>
      <c r="D158" s="121"/>
      <c r="E158" s="121"/>
      <c r="F158" s="121"/>
      <c r="G158" s="121"/>
      <c r="H158" s="121"/>
      <c r="I158" s="121"/>
      <c r="J158" s="121"/>
      <c r="K158" s="121"/>
    </row>
    <row r="159" spans="2:11" x14ac:dyDescent="0.35">
      <c r="B159" s="116"/>
      <c r="D159" s="121"/>
      <c r="E159" s="121"/>
      <c r="F159" s="121"/>
      <c r="G159" s="121"/>
      <c r="H159" s="121"/>
      <c r="I159" s="121"/>
      <c r="J159" s="121"/>
      <c r="K159" s="121"/>
    </row>
    <row r="160" spans="2:11" x14ac:dyDescent="0.35">
      <c r="B160" s="116"/>
      <c r="D160" s="118"/>
      <c r="E160" s="118"/>
      <c r="F160" s="118"/>
      <c r="G160" s="118"/>
      <c r="H160" s="118"/>
      <c r="I160" s="118"/>
      <c r="J160" s="118"/>
      <c r="K160" s="118"/>
    </row>
    <row r="161" spans="2:11" x14ac:dyDescent="0.35">
      <c r="B161" s="116"/>
      <c r="D161" s="119"/>
      <c r="E161" s="119"/>
      <c r="F161" s="119"/>
      <c r="G161" s="119"/>
      <c r="H161" s="119"/>
      <c r="I161" s="119"/>
      <c r="J161" s="119"/>
      <c r="K161" s="119"/>
    </row>
    <row r="162" spans="2:11" x14ac:dyDescent="0.35">
      <c r="B162" s="116"/>
      <c r="D162" s="119"/>
      <c r="E162" s="119"/>
      <c r="F162" s="119"/>
      <c r="G162" s="119"/>
      <c r="H162" s="119"/>
      <c r="I162" s="119"/>
      <c r="J162" s="119"/>
      <c r="K162" s="119"/>
    </row>
    <row r="163" spans="2:11" x14ac:dyDescent="0.35">
      <c r="B163" s="116"/>
      <c r="D163" s="118"/>
      <c r="E163" s="118"/>
      <c r="F163" s="118"/>
      <c r="G163" s="118"/>
      <c r="H163" s="118"/>
      <c r="I163" s="118"/>
      <c r="J163" s="118"/>
      <c r="K163" s="118"/>
    </row>
    <row r="164" spans="2:11" x14ac:dyDescent="0.35">
      <c r="B164" s="116"/>
      <c r="D164" s="118"/>
      <c r="E164" s="118"/>
      <c r="F164" s="118"/>
      <c r="G164" s="118"/>
      <c r="H164" s="118"/>
      <c r="I164" s="118"/>
      <c r="J164" s="118"/>
      <c r="K164" s="118"/>
    </row>
    <row r="165" spans="2:11" x14ac:dyDescent="0.35">
      <c r="B165" s="116"/>
      <c r="D165" s="118"/>
      <c r="E165" s="118"/>
      <c r="F165" s="118"/>
      <c r="G165" s="118"/>
      <c r="H165" s="118"/>
      <c r="I165" s="118"/>
      <c r="J165" s="118"/>
      <c r="K165" s="118"/>
    </row>
    <row r="166" spans="2:11" x14ac:dyDescent="0.35">
      <c r="B166" s="116"/>
      <c r="D166" s="118"/>
      <c r="E166" s="118"/>
      <c r="F166" s="118"/>
      <c r="G166" s="118"/>
      <c r="H166" s="118"/>
      <c r="I166" s="118"/>
      <c r="J166" s="118"/>
      <c r="K166" s="118"/>
    </row>
    <row r="167" spans="2:11" x14ac:dyDescent="0.35">
      <c r="B167" s="116"/>
      <c r="D167" s="118"/>
      <c r="E167" s="118"/>
      <c r="F167" s="118"/>
      <c r="G167" s="118"/>
      <c r="H167" s="118"/>
      <c r="I167" s="118"/>
      <c r="J167" s="118"/>
      <c r="K167" s="118"/>
    </row>
    <row r="168" spans="2:11" x14ac:dyDescent="0.35">
      <c r="B168" s="116"/>
      <c r="D168" s="118"/>
      <c r="E168" s="118"/>
      <c r="F168" s="118"/>
      <c r="G168" s="118"/>
      <c r="H168" s="118"/>
      <c r="I168" s="118"/>
      <c r="J168" s="118"/>
      <c r="K168" s="118"/>
    </row>
    <row r="169" spans="2:11" x14ac:dyDescent="0.35">
      <c r="B169" s="116"/>
      <c r="D169" s="119"/>
      <c r="E169" s="119"/>
      <c r="F169" s="119"/>
      <c r="G169" s="119"/>
      <c r="H169" s="119"/>
      <c r="I169" s="119"/>
      <c r="J169" s="119"/>
      <c r="K169" s="119"/>
    </row>
    <row r="170" spans="2:11" x14ac:dyDescent="0.35">
      <c r="B170" s="116"/>
      <c r="D170" s="119"/>
      <c r="E170" s="119"/>
      <c r="F170" s="119"/>
      <c r="G170" s="119"/>
      <c r="H170" s="119"/>
      <c r="I170" s="119"/>
      <c r="J170" s="119"/>
      <c r="K170" s="119"/>
    </row>
    <row r="171" spans="2:11" x14ac:dyDescent="0.35">
      <c r="B171" s="116"/>
      <c r="D171" s="118"/>
      <c r="E171" s="118"/>
      <c r="F171" s="118"/>
      <c r="G171" s="118"/>
      <c r="H171" s="118"/>
      <c r="I171" s="118"/>
      <c r="J171" s="118"/>
      <c r="K171" s="118"/>
    </row>
    <row r="172" spans="2:11" x14ac:dyDescent="0.35">
      <c r="B172" s="116"/>
      <c r="D172" s="121"/>
      <c r="E172" s="121"/>
      <c r="F172" s="121"/>
      <c r="G172" s="121"/>
      <c r="H172" s="121"/>
      <c r="I172" s="121"/>
      <c r="J172" s="121"/>
      <c r="K172" s="121"/>
    </row>
    <row r="173" spans="2:11" x14ac:dyDescent="0.35">
      <c r="B173" s="116"/>
      <c r="D173" s="121"/>
      <c r="E173" s="121"/>
      <c r="F173" s="121"/>
      <c r="G173" s="121"/>
      <c r="H173" s="121"/>
      <c r="I173" s="121"/>
      <c r="J173" s="121"/>
      <c r="K173" s="121"/>
    </row>
    <row r="174" spans="2:11" x14ac:dyDescent="0.35">
      <c r="B174" s="116"/>
      <c r="D174" s="121"/>
      <c r="E174" s="121"/>
      <c r="F174" s="121"/>
      <c r="G174" s="121"/>
      <c r="H174" s="121"/>
      <c r="I174" s="121"/>
      <c r="J174" s="121"/>
      <c r="K174" s="121"/>
    </row>
    <row r="175" spans="2:11" x14ac:dyDescent="0.35">
      <c r="B175" s="116"/>
      <c r="D175" s="122"/>
      <c r="E175" s="122"/>
      <c r="F175" s="122"/>
      <c r="G175" s="122"/>
      <c r="H175" s="122"/>
      <c r="I175" s="122"/>
      <c r="J175" s="122"/>
      <c r="K175" s="122"/>
    </row>
    <row r="176" spans="2:11" x14ac:dyDescent="0.35">
      <c r="B176" s="116"/>
      <c r="D176" s="118"/>
      <c r="E176" s="118"/>
      <c r="F176" s="118"/>
      <c r="G176" s="118"/>
      <c r="H176" s="118"/>
      <c r="I176" s="118"/>
      <c r="J176" s="118"/>
      <c r="K176" s="118"/>
    </row>
    <row r="177" spans="2:11" x14ac:dyDescent="0.35">
      <c r="B177" s="116"/>
      <c r="D177" s="121"/>
      <c r="E177" s="121"/>
      <c r="F177" s="121"/>
      <c r="G177" s="121"/>
      <c r="H177" s="121"/>
      <c r="I177" s="121"/>
      <c r="J177" s="121"/>
      <c r="K177" s="121"/>
    </row>
    <row r="178" spans="2:11" x14ac:dyDescent="0.35">
      <c r="B178" s="116"/>
      <c r="D178" s="121"/>
      <c r="E178" s="121"/>
      <c r="F178" s="121"/>
      <c r="G178" s="121"/>
      <c r="H178" s="121"/>
      <c r="I178" s="121"/>
      <c r="J178" s="121"/>
      <c r="K178" s="121"/>
    </row>
    <row r="179" spans="2:11" x14ac:dyDescent="0.35">
      <c r="B179" s="116"/>
      <c r="D179" s="121"/>
      <c r="E179" s="121"/>
      <c r="F179" s="121"/>
      <c r="G179" s="121"/>
      <c r="H179" s="121"/>
      <c r="I179" s="121"/>
      <c r="J179" s="121"/>
      <c r="K179" s="121"/>
    </row>
    <row r="180" spans="2:11" x14ac:dyDescent="0.35">
      <c r="B180" s="116"/>
      <c r="D180" s="118"/>
      <c r="E180" s="118"/>
      <c r="F180" s="118"/>
      <c r="G180" s="118"/>
      <c r="H180" s="118"/>
      <c r="I180" s="118"/>
      <c r="J180" s="118"/>
      <c r="K180" s="118"/>
    </row>
    <row r="181" spans="2:11" x14ac:dyDescent="0.35">
      <c r="B181" s="116"/>
      <c r="D181" s="121"/>
      <c r="E181" s="121"/>
      <c r="F181" s="121"/>
      <c r="G181" s="121"/>
      <c r="H181" s="121"/>
      <c r="I181" s="121"/>
      <c r="J181" s="121"/>
      <c r="K181" s="121"/>
    </row>
    <row r="182" spans="2:11" x14ac:dyDescent="0.35">
      <c r="B182" s="116"/>
      <c r="D182" s="121"/>
      <c r="E182" s="121"/>
      <c r="F182" s="121"/>
      <c r="G182" s="121"/>
      <c r="H182" s="121"/>
      <c r="I182" s="121"/>
      <c r="J182" s="121"/>
      <c r="K182" s="121"/>
    </row>
    <row r="183" spans="2:11" x14ac:dyDescent="0.35">
      <c r="B183" s="116"/>
      <c r="D183" s="121"/>
      <c r="E183" s="121"/>
      <c r="F183" s="121"/>
      <c r="G183" s="121"/>
      <c r="H183" s="121"/>
      <c r="I183" s="121"/>
      <c r="J183" s="121"/>
      <c r="K183" s="121"/>
    </row>
    <row r="184" spans="2:11" x14ac:dyDescent="0.35">
      <c r="B184" s="116"/>
      <c r="D184" s="121"/>
      <c r="E184" s="121"/>
      <c r="F184" s="121"/>
      <c r="G184" s="121"/>
      <c r="H184" s="121"/>
      <c r="I184" s="121"/>
      <c r="J184" s="121"/>
      <c r="K184" s="121"/>
    </row>
    <row r="185" spans="2:11" x14ac:dyDescent="0.35">
      <c r="B185" s="116"/>
      <c r="D185" s="121"/>
      <c r="E185" s="121"/>
      <c r="F185" s="121"/>
      <c r="G185" s="121"/>
      <c r="H185" s="121"/>
      <c r="I185" s="121"/>
      <c r="J185" s="121"/>
      <c r="K185" s="121"/>
    </row>
    <row r="186" spans="2:11" x14ac:dyDescent="0.35">
      <c r="B186" s="116"/>
      <c r="D186" s="121"/>
      <c r="E186" s="121"/>
      <c r="F186" s="121"/>
      <c r="G186" s="121"/>
      <c r="H186" s="121"/>
      <c r="I186" s="121"/>
      <c r="J186" s="121"/>
      <c r="K186" s="121"/>
    </row>
    <row r="187" spans="2:11" x14ac:dyDescent="0.35">
      <c r="B187" s="116"/>
      <c r="D187" s="121"/>
      <c r="E187" s="121"/>
      <c r="F187" s="121"/>
      <c r="G187" s="121"/>
      <c r="H187" s="121"/>
      <c r="I187" s="121"/>
      <c r="J187" s="121"/>
      <c r="K187" s="121"/>
    </row>
    <row r="188" spans="2:11" x14ac:dyDescent="0.35">
      <c r="B188" s="116"/>
      <c r="D188" s="121"/>
      <c r="E188" s="121"/>
      <c r="F188" s="121"/>
      <c r="G188" s="121"/>
      <c r="H188" s="121"/>
      <c r="I188" s="121"/>
      <c r="J188" s="121"/>
      <c r="K188" s="121"/>
    </row>
    <row r="189" spans="2:11" x14ac:dyDescent="0.35">
      <c r="B189" s="116"/>
      <c r="D189" s="118"/>
      <c r="E189" s="118"/>
      <c r="F189" s="118"/>
      <c r="G189" s="118"/>
      <c r="H189" s="118"/>
      <c r="I189" s="118"/>
      <c r="J189" s="118"/>
      <c r="K189" s="118"/>
    </row>
    <row r="190" spans="2:11" x14ac:dyDescent="0.35">
      <c r="B190" s="116"/>
      <c r="D190" s="118"/>
      <c r="E190" s="118"/>
      <c r="F190" s="118"/>
      <c r="G190" s="118"/>
      <c r="H190" s="118"/>
      <c r="I190" s="118"/>
      <c r="J190" s="118"/>
      <c r="K190" s="118"/>
    </row>
    <row r="191" spans="2:11" x14ac:dyDescent="0.35">
      <c r="B191" s="116"/>
      <c r="D191" s="119"/>
      <c r="E191" s="119"/>
      <c r="F191" s="119"/>
      <c r="G191" s="119"/>
      <c r="H191" s="119"/>
      <c r="I191" s="119"/>
      <c r="J191" s="119"/>
      <c r="K191" s="119"/>
    </row>
    <row r="192" spans="2:11" x14ac:dyDescent="0.35">
      <c r="B192" s="116"/>
      <c r="D192" s="119"/>
      <c r="E192" s="119"/>
      <c r="F192" s="119"/>
      <c r="G192" s="119"/>
      <c r="H192" s="119"/>
      <c r="I192" s="119"/>
      <c r="J192" s="119"/>
      <c r="K192" s="119"/>
    </row>
    <row r="193" spans="2:11" x14ac:dyDescent="0.35">
      <c r="B193" s="116"/>
      <c r="D193" s="118"/>
      <c r="E193" s="118"/>
      <c r="F193" s="118"/>
      <c r="G193" s="118"/>
      <c r="H193" s="118"/>
      <c r="I193" s="118"/>
      <c r="J193" s="118"/>
      <c r="K193" s="118"/>
    </row>
    <row r="194" spans="2:11" x14ac:dyDescent="0.35">
      <c r="B194" s="116"/>
      <c r="D194" s="121"/>
      <c r="E194" s="121"/>
      <c r="F194" s="121"/>
      <c r="G194" s="121"/>
      <c r="H194" s="121"/>
      <c r="I194" s="121"/>
      <c r="J194" s="121"/>
      <c r="K194" s="121"/>
    </row>
    <row r="195" spans="2:11" x14ac:dyDescent="0.35">
      <c r="B195" s="116"/>
      <c r="D195" s="121"/>
      <c r="E195" s="121"/>
      <c r="F195" s="121"/>
      <c r="G195" s="121"/>
      <c r="H195" s="121"/>
      <c r="I195" s="121"/>
      <c r="J195" s="121"/>
      <c r="K195" s="121"/>
    </row>
    <row r="196" spans="2:11" x14ac:dyDescent="0.35">
      <c r="B196" s="116"/>
      <c r="D196" s="121"/>
      <c r="E196" s="121"/>
      <c r="F196" s="121"/>
      <c r="G196" s="121"/>
      <c r="H196" s="121"/>
      <c r="I196" s="121"/>
      <c r="J196" s="121"/>
      <c r="K196" s="121"/>
    </row>
    <row r="197" spans="2:11" x14ac:dyDescent="0.35">
      <c r="B197" s="116"/>
      <c r="D197" s="121"/>
      <c r="E197" s="121"/>
      <c r="F197" s="121"/>
      <c r="G197" s="121"/>
      <c r="H197" s="121"/>
      <c r="I197" s="121"/>
      <c r="J197" s="121"/>
      <c r="K197" s="121"/>
    </row>
    <row r="198" spans="2:11" x14ac:dyDescent="0.35">
      <c r="B198" s="116"/>
      <c r="D198" s="118"/>
      <c r="E198" s="118"/>
      <c r="F198" s="118"/>
      <c r="G198" s="118"/>
      <c r="H198" s="118"/>
      <c r="I198" s="118"/>
      <c r="J198" s="118"/>
      <c r="K198" s="118"/>
    </row>
    <row r="199" spans="2:11" x14ac:dyDescent="0.35">
      <c r="B199" s="116"/>
      <c r="D199" s="119"/>
      <c r="E199" s="119"/>
      <c r="F199" s="119"/>
      <c r="G199" s="119"/>
      <c r="H199" s="119"/>
      <c r="I199" s="119"/>
      <c r="J199" s="119"/>
      <c r="K199" s="119"/>
    </row>
    <row r="200" spans="2:11" x14ac:dyDescent="0.35">
      <c r="B200" s="116"/>
      <c r="D200" s="119"/>
      <c r="E200" s="119"/>
      <c r="F200" s="119"/>
      <c r="G200" s="119"/>
      <c r="H200" s="119"/>
      <c r="I200" s="119"/>
      <c r="J200" s="119"/>
      <c r="K200" s="119"/>
    </row>
    <row r="201" spans="2:11" x14ac:dyDescent="0.35">
      <c r="B201" s="116"/>
      <c r="D201" s="118"/>
      <c r="E201" s="118"/>
      <c r="F201" s="118"/>
      <c r="G201" s="118"/>
      <c r="H201" s="118"/>
      <c r="I201" s="118"/>
      <c r="J201" s="118"/>
      <c r="K201" s="118"/>
    </row>
    <row r="202" spans="2:11" x14ac:dyDescent="0.35">
      <c r="B202" s="116"/>
      <c r="D202" s="121"/>
      <c r="E202" s="121"/>
      <c r="F202" s="121"/>
      <c r="G202" s="121"/>
      <c r="H202" s="121"/>
      <c r="I202" s="121"/>
      <c r="J202" s="121"/>
      <c r="K202" s="121"/>
    </row>
    <row r="203" spans="2:11" x14ac:dyDescent="0.35">
      <c r="B203" s="116"/>
      <c r="D203" s="121"/>
      <c r="E203" s="121"/>
      <c r="F203" s="121"/>
      <c r="G203" s="121"/>
      <c r="H203" s="121"/>
      <c r="I203" s="121"/>
      <c r="J203" s="121"/>
      <c r="K203" s="121"/>
    </row>
    <row r="204" spans="2:11" x14ac:dyDescent="0.35">
      <c r="B204" s="116"/>
      <c r="D204" s="121"/>
      <c r="E204" s="121"/>
      <c r="F204" s="121"/>
      <c r="G204" s="121"/>
      <c r="H204" s="121"/>
      <c r="I204" s="121"/>
      <c r="J204" s="121"/>
      <c r="K204" s="121"/>
    </row>
    <row r="205" spans="2:11" x14ac:dyDescent="0.35">
      <c r="B205" s="116"/>
      <c r="D205" s="118"/>
      <c r="E205" s="118"/>
      <c r="F205" s="118"/>
      <c r="G205" s="118"/>
      <c r="H205" s="118"/>
      <c r="I205" s="118"/>
      <c r="J205" s="118"/>
      <c r="K205" s="118"/>
    </row>
    <row r="206" spans="2:11" x14ac:dyDescent="0.35">
      <c r="B206" s="116"/>
      <c r="D206" s="118"/>
      <c r="E206" s="118"/>
      <c r="F206" s="118"/>
      <c r="G206" s="118"/>
      <c r="H206" s="118"/>
      <c r="I206" s="118"/>
      <c r="J206" s="118"/>
      <c r="K206" s="118"/>
    </row>
    <row r="207" spans="2:11" x14ac:dyDescent="0.35">
      <c r="B207" s="116"/>
      <c r="D207" s="118"/>
      <c r="E207" s="118"/>
      <c r="F207" s="118"/>
      <c r="G207" s="118"/>
      <c r="H207" s="118"/>
      <c r="I207" s="118"/>
      <c r="J207" s="118"/>
      <c r="K207" s="118"/>
    </row>
    <row r="208" spans="2:11" x14ac:dyDescent="0.35">
      <c r="B208" s="116"/>
      <c r="D208" s="119"/>
      <c r="E208" s="119"/>
      <c r="F208" s="119"/>
      <c r="G208" s="119"/>
      <c r="H208" s="119"/>
      <c r="I208" s="119"/>
      <c r="J208" s="119"/>
      <c r="K208" s="119"/>
    </row>
    <row r="209" spans="2:11" x14ac:dyDescent="0.35">
      <c r="B209" s="116"/>
      <c r="D209" s="119"/>
      <c r="E209" s="119"/>
      <c r="F209" s="119"/>
      <c r="G209" s="119"/>
      <c r="H209" s="119"/>
      <c r="I209" s="119"/>
      <c r="J209" s="119"/>
      <c r="K209" s="119"/>
    </row>
    <row r="210" spans="2:11" x14ac:dyDescent="0.35">
      <c r="B210" s="116"/>
      <c r="D210" s="116"/>
      <c r="E210" s="116"/>
      <c r="F210" s="116"/>
      <c r="G210" s="116"/>
      <c r="H210" s="116"/>
      <c r="I210" s="116"/>
      <c r="J210" s="116"/>
      <c r="K210" s="116"/>
    </row>
    <row r="211" spans="2:11" x14ac:dyDescent="0.35">
      <c r="B211" s="116"/>
      <c r="D211" s="116"/>
      <c r="E211" s="116"/>
      <c r="F211" s="116"/>
      <c r="G211" s="116"/>
      <c r="H211" s="116"/>
      <c r="I211" s="116"/>
      <c r="J211" s="116"/>
      <c r="K211" s="116"/>
    </row>
    <row r="212" spans="2:11" x14ac:dyDescent="0.35">
      <c r="B212" s="116"/>
      <c r="D212" s="116"/>
      <c r="E212" s="116"/>
      <c r="F212" s="116"/>
      <c r="G212" s="116"/>
      <c r="H212" s="116"/>
      <c r="I212" s="116"/>
      <c r="J212" s="116"/>
      <c r="K212" s="116"/>
    </row>
    <row r="213" spans="2:11" x14ac:dyDescent="0.35">
      <c r="B213" s="116"/>
      <c r="D213" s="116"/>
      <c r="E213" s="116"/>
      <c r="F213" s="116"/>
      <c r="G213" s="116"/>
      <c r="H213" s="116"/>
      <c r="I213" s="116"/>
      <c r="J213" s="116"/>
      <c r="K213" s="116"/>
    </row>
    <row r="214" spans="2:11" x14ac:dyDescent="0.35">
      <c r="B214" s="116"/>
      <c r="D214" s="116"/>
      <c r="E214" s="116"/>
      <c r="F214" s="116"/>
      <c r="G214" s="116"/>
      <c r="H214" s="116"/>
      <c r="I214" s="116"/>
      <c r="J214" s="116"/>
      <c r="K214" s="116"/>
    </row>
    <row r="215" spans="2:11" x14ac:dyDescent="0.35">
      <c r="B215" s="116"/>
      <c r="D215" s="116"/>
      <c r="E215" s="116"/>
      <c r="F215" s="116"/>
      <c r="G215" s="116"/>
      <c r="H215" s="116"/>
      <c r="I215" s="116"/>
      <c r="J215" s="116"/>
      <c r="K215" s="116"/>
    </row>
    <row r="216" spans="2:11" x14ac:dyDescent="0.35">
      <c r="B216" s="116"/>
      <c r="D216" s="116"/>
      <c r="E216" s="116"/>
      <c r="F216" s="116"/>
      <c r="G216" s="116"/>
      <c r="H216" s="116"/>
      <c r="I216" s="116"/>
      <c r="J216" s="116"/>
      <c r="K216" s="116"/>
    </row>
    <row r="217" spans="2:11" x14ac:dyDescent="0.35">
      <c r="B217" s="116"/>
      <c r="D217" s="116"/>
      <c r="E217" s="116"/>
      <c r="F217" s="116"/>
      <c r="G217" s="116"/>
      <c r="H217" s="116"/>
      <c r="I217" s="116"/>
      <c r="J217" s="116"/>
      <c r="K217" s="116"/>
    </row>
    <row r="218" spans="2:11" x14ac:dyDescent="0.35">
      <c r="B218" s="116"/>
      <c r="D218" s="116"/>
      <c r="E218" s="116"/>
      <c r="F218" s="116"/>
      <c r="G218" s="116"/>
      <c r="H218" s="116"/>
      <c r="I218" s="116"/>
      <c r="J218" s="116"/>
      <c r="K218" s="116"/>
    </row>
    <row r="219" spans="2:11" x14ac:dyDescent="0.35">
      <c r="B219" s="116"/>
      <c r="D219" s="116"/>
      <c r="E219" s="116"/>
      <c r="F219" s="116"/>
      <c r="G219" s="116"/>
      <c r="H219" s="116"/>
      <c r="I219" s="116"/>
      <c r="J219" s="116"/>
      <c r="K219" s="116"/>
    </row>
    <row r="220" spans="2:11" x14ac:dyDescent="0.35">
      <c r="B220" s="116"/>
      <c r="D220" s="116"/>
      <c r="E220" s="116"/>
      <c r="F220" s="116"/>
      <c r="G220" s="116"/>
      <c r="H220" s="116"/>
      <c r="I220" s="116"/>
      <c r="J220" s="116"/>
      <c r="K220" s="116"/>
    </row>
    <row r="221" spans="2:11" x14ac:dyDescent="0.35">
      <c r="B221" s="116"/>
      <c r="D221" s="116"/>
      <c r="E221" s="116"/>
      <c r="F221" s="116"/>
      <c r="G221" s="116"/>
      <c r="H221" s="116"/>
      <c r="I221" s="116"/>
      <c r="J221" s="116"/>
      <c r="K221" s="116"/>
    </row>
    <row r="222" spans="2:11" x14ac:dyDescent="0.35">
      <c r="B222" s="116"/>
      <c r="D222" s="116"/>
      <c r="E222" s="116"/>
      <c r="F222" s="116"/>
      <c r="G222" s="116"/>
      <c r="H222" s="116"/>
      <c r="I222" s="116"/>
      <c r="J222" s="116"/>
      <c r="K222" s="116"/>
    </row>
    <row r="223" spans="2:11" x14ac:dyDescent="0.35">
      <c r="B223" s="116"/>
      <c r="D223" s="116"/>
      <c r="E223" s="116"/>
      <c r="F223" s="116"/>
      <c r="G223" s="116"/>
      <c r="H223" s="116"/>
      <c r="I223" s="116"/>
      <c r="J223" s="116"/>
      <c r="K223" s="116"/>
    </row>
    <row r="224" spans="2:11" x14ac:dyDescent="0.35">
      <c r="B224" s="116"/>
      <c r="D224" s="116"/>
      <c r="E224" s="116"/>
      <c r="F224" s="116"/>
      <c r="G224" s="116"/>
      <c r="H224" s="116"/>
      <c r="I224" s="116"/>
      <c r="J224" s="116"/>
      <c r="K224" s="116"/>
    </row>
    <row r="225" spans="2:11" x14ac:dyDescent="0.35">
      <c r="B225" s="116"/>
      <c r="D225" s="116"/>
      <c r="E225" s="116"/>
      <c r="F225" s="116"/>
      <c r="G225" s="116"/>
      <c r="H225" s="116"/>
      <c r="I225" s="116"/>
      <c r="J225" s="116"/>
      <c r="K225" s="116"/>
    </row>
    <row r="226" spans="2:11" x14ac:dyDescent="0.35">
      <c r="B226" s="116"/>
      <c r="D226" s="116"/>
      <c r="E226" s="116"/>
      <c r="F226" s="116"/>
      <c r="G226" s="116"/>
      <c r="H226" s="116"/>
      <c r="I226" s="116"/>
      <c r="J226" s="116"/>
      <c r="K226" s="116"/>
    </row>
    <row r="227" spans="2:11" x14ac:dyDescent="0.35">
      <c r="B227" s="116"/>
      <c r="D227" s="116"/>
      <c r="E227" s="116"/>
      <c r="F227" s="116"/>
      <c r="G227" s="116"/>
      <c r="H227" s="116"/>
      <c r="I227" s="116"/>
      <c r="J227" s="116"/>
      <c r="K227" s="116"/>
    </row>
    <row r="228" spans="2:11" x14ac:dyDescent="0.35">
      <c r="B228" s="116"/>
      <c r="D228" s="116"/>
      <c r="E228" s="116"/>
      <c r="F228" s="116"/>
      <c r="G228" s="116"/>
      <c r="H228" s="116"/>
      <c r="I228" s="116"/>
      <c r="J228" s="116"/>
      <c r="K228" s="116"/>
    </row>
    <row r="229" spans="2:11" x14ac:dyDescent="0.35">
      <c r="B229" s="116"/>
      <c r="D229" s="116"/>
      <c r="E229" s="116"/>
      <c r="F229" s="116"/>
      <c r="G229" s="116"/>
      <c r="H229" s="116"/>
      <c r="I229" s="116"/>
      <c r="J229" s="116"/>
      <c r="K229" s="116"/>
    </row>
    <row r="230" spans="2:11" x14ac:dyDescent="0.35">
      <c r="B230" s="116"/>
      <c r="D230" s="116"/>
      <c r="E230" s="116"/>
      <c r="F230" s="116"/>
      <c r="G230" s="116"/>
      <c r="H230" s="116"/>
      <c r="I230" s="116"/>
      <c r="J230" s="116"/>
      <c r="K230" s="116"/>
    </row>
    <row r="231" spans="2:11" x14ac:dyDescent="0.35">
      <c r="B231" s="116"/>
      <c r="D231" s="116"/>
      <c r="E231" s="116"/>
      <c r="F231" s="116"/>
      <c r="G231" s="116"/>
      <c r="H231" s="116"/>
      <c r="I231" s="116"/>
      <c r="J231" s="116"/>
      <c r="K231" s="116"/>
    </row>
    <row r="232" spans="2:11" x14ac:dyDescent="0.35">
      <c r="B232" s="116"/>
      <c r="D232" s="116"/>
      <c r="E232" s="116"/>
      <c r="F232" s="116"/>
      <c r="G232" s="116"/>
      <c r="H232" s="116"/>
      <c r="I232" s="116"/>
      <c r="J232" s="116"/>
      <c r="K232" s="116"/>
    </row>
    <row r="233" spans="2:11" x14ac:dyDescent="0.35">
      <c r="B233" s="116"/>
      <c r="D233" s="116"/>
      <c r="E233" s="116"/>
      <c r="F233" s="116"/>
      <c r="G233" s="116"/>
      <c r="H233" s="116"/>
      <c r="I233" s="116"/>
      <c r="J233" s="116"/>
      <c r="K233" s="116"/>
    </row>
    <row r="234" spans="2:11" x14ac:dyDescent="0.35">
      <c r="B234" s="116"/>
      <c r="D234" s="116"/>
      <c r="E234" s="116"/>
      <c r="F234" s="116"/>
      <c r="G234" s="116"/>
      <c r="H234" s="116"/>
      <c r="I234" s="116"/>
      <c r="J234" s="116"/>
      <c r="K234" s="116"/>
    </row>
    <row r="235" spans="2:11" x14ac:dyDescent="0.35">
      <c r="B235" s="116"/>
      <c r="D235" s="116"/>
      <c r="E235" s="116"/>
      <c r="F235" s="116"/>
      <c r="G235" s="116"/>
      <c r="H235" s="116"/>
      <c r="I235" s="116"/>
      <c r="J235" s="116"/>
      <c r="K235" s="116"/>
    </row>
    <row r="236" spans="2:11" x14ac:dyDescent="0.35">
      <c r="B236" s="116"/>
      <c r="D236" s="116"/>
      <c r="E236" s="116"/>
      <c r="F236" s="116"/>
      <c r="G236" s="116"/>
      <c r="H236" s="116"/>
      <c r="I236" s="116"/>
      <c r="J236" s="116"/>
      <c r="K236" s="116"/>
    </row>
    <row r="237" spans="2:11" x14ac:dyDescent="0.35">
      <c r="B237" s="116"/>
      <c r="D237" s="116"/>
      <c r="E237" s="116"/>
      <c r="F237" s="116"/>
      <c r="G237" s="116"/>
      <c r="H237" s="116"/>
      <c r="I237" s="116"/>
      <c r="J237" s="116"/>
      <c r="K237" s="116"/>
    </row>
    <row r="238" spans="2:11" x14ac:dyDescent="0.35">
      <c r="B238" s="116"/>
      <c r="D238" s="116"/>
      <c r="E238" s="116"/>
      <c r="F238" s="116"/>
      <c r="G238" s="116"/>
      <c r="H238" s="116"/>
      <c r="I238" s="116"/>
      <c r="J238" s="116"/>
      <c r="K238" s="116"/>
    </row>
    <row r="239" spans="2:11" x14ac:dyDescent="0.35">
      <c r="B239" s="116"/>
      <c r="D239" s="116"/>
      <c r="E239" s="116"/>
      <c r="F239" s="116"/>
      <c r="G239" s="116"/>
      <c r="H239" s="116"/>
      <c r="I239" s="116"/>
      <c r="J239" s="116"/>
      <c r="K239" s="116"/>
    </row>
    <row r="240" spans="2:11" x14ac:dyDescent="0.35">
      <c r="B240" s="116"/>
      <c r="D240" s="116"/>
      <c r="E240" s="116"/>
      <c r="F240" s="116"/>
      <c r="G240" s="116"/>
      <c r="H240" s="116"/>
      <c r="I240" s="116"/>
      <c r="J240" s="116"/>
      <c r="K240" s="116"/>
    </row>
    <row r="241" spans="2:11" x14ac:dyDescent="0.35">
      <c r="B241" s="116"/>
      <c r="D241" s="116"/>
      <c r="E241" s="116"/>
      <c r="F241" s="116"/>
      <c r="G241" s="116"/>
      <c r="H241" s="116"/>
      <c r="I241" s="116"/>
      <c r="J241" s="116"/>
      <c r="K241" s="116"/>
    </row>
    <row r="242" spans="2:11" x14ac:dyDescent="0.35">
      <c r="B242" s="116"/>
      <c r="D242" s="116"/>
      <c r="E242" s="116"/>
      <c r="F242" s="116"/>
      <c r="G242" s="116"/>
      <c r="H242" s="116"/>
      <c r="I242" s="116"/>
      <c r="J242" s="116"/>
      <c r="K242" s="116"/>
    </row>
    <row r="243" spans="2:11" x14ac:dyDescent="0.35">
      <c r="B243" s="116"/>
      <c r="D243" s="116"/>
      <c r="E243" s="116"/>
      <c r="F243" s="116"/>
      <c r="G243" s="116"/>
      <c r="H243" s="116"/>
      <c r="I243" s="116"/>
      <c r="J243" s="116"/>
      <c r="K243" s="116"/>
    </row>
    <row r="244" spans="2:11" x14ac:dyDescent="0.35">
      <c r="B244" s="116"/>
      <c r="D244" s="116"/>
      <c r="E244" s="116"/>
      <c r="F244" s="116"/>
      <c r="G244" s="116"/>
      <c r="H244" s="116"/>
      <c r="I244" s="116"/>
      <c r="J244" s="116"/>
      <c r="K244" s="116"/>
    </row>
    <row r="245" spans="2:11" x14ac:dyDescent="0.35">
      <c r="B245" s="116"/>
      <c r="D245" s="116"/>
      <c r="E245" s="116"/>
      <c r="F245" s="116"/>
      <c r="G245" s="116"/>
      <c r="H245" s="116"/>
      <c r="I245" s="116"/>
      <c r="J245" s="116"/>
      <c r="K245" s="116"/>
    </row>
    <row r="246" spans="2:11" x14ac:dyDescent="0.35">
      <c r="B246" s="116"/>
      <c r="D246" s="116"/>
      <c r="E246" s="116"/>
      <c r="F246" s="116"/>
      <c r="G246" s="116"/>
      <c r="H246" s="116"/>
      <c r="I246" s="116"/>
      <c r="J246" s="116"/>
      <c r="K246" s="116"/>
    </row>
    <row r="247" spans="2:11" x14ac:dyDescent="0.35">
      <c r="B247" s="116"/>
      <c r="D247" s="116"/>
      <c r="E247" s="116"/>
      <c r="F247" s="116"/>
      <c r="G247" s="116"/>
      <c r="H247" s="116"/>
      <c r="I247" s="116"/>
      <c r="J247" s="116"/>
      <c r="K247" s="116"/>
    </row>
    <row r="248" spans="2:11" x14ac:dyDescent="0.35">
      <c r="B248" s="116"/>
      <c r="D248" s="116"/>
      <c r="E248" s="116"/>
      <c r="F248" s="116"/>
      <c r="G248" s="116"/>
      <c r="H248" s="116"/>
      <c r="I248" s="116"/>
      <c r="J248" s="116"/>
      <c r="K248" s="116"/>
    </row>
    <row r="249" spans="2:11" x14ac:dyDescent="0.35">
      <c r="B249" s="116"/>
      <c r="D249" s="116"/>
      <c r="E249" s="116"/>
      <c r="F249" s="116"/>
      <c r="G249" s="116"/>
      <c r="H249" s="116"/>
      <c r="I249" s="116"/>
      <c r="J249" s="116"/>
      <c r="K249" s="116"/>
    </row>
    <row r="250" spans="2:11" x14ac:dyDescent="0.35">
      <c r="B250" s="116"/>
      <c r="D250" s="116"/>
      <c r="E250" s="116"/>
      <c r="F250" s="116"/>
      <c r="G250" s="116"/>
      <c r="H250" s="116"/>
      <c r="I250" s="116"/>
      <c r="J250" s="116"/>
      <c r="K250" s="116"/>
    </row>
    <row r="251" spans="2:11" x14ac:dyDescent="0.35">
      <c r="B251" s="116"/>
      <c r="D251" s="116"/>
      <c r="E251" s="116"/>
      <c r="F251" s="116"/>
      <c r="G251" s="116"/>
      <c r="H251" s="116"/>
      <c r="I251" s="116"/>
      <c r="J251" s="116"/>
      <c r="K251" s="116"/>
    </row>
    <row r="252" spans="2:11" x14ac:dyDescent="0.35">
      <c r="B252" s="116"/>
      <c r="D252" s="116"/>
      <c r="E252" s="116"/>
      <c r="F252" s="116"/>
      <c r="G252" s="116"/>
      <c r="H252" s="116"/>
      <c r="I252" s="116"/>
      <c r="J252" s="116"/>
      <c r="K252" s="116"/>
    </row>
    <row r="253" spans="2:11" x14ac:dyDescent="0.35">
      <c r="B253" s="116"/>
      <c r="D253" s="116"/>
      <c r="E253" s="116"/>
      <c r="F253" s="116"/>
      <c r="G253" s="116"/>
      <c r="H253" s="116"/>
      <c r="I253" s="116"/>
      <c r="J253" s="116"/>
      <c r="K253" s="116"/>
    </row>
    <row r="254" spans="2:11" x14ac:dyDescent="0.35">
      <c r="B254" s="116"/>
      <c r="D254" s="116"/>
      <c r="E254" s="116"/>
      <c r="F254" s="116"/>
      <c r="G254" s="116"/>
      <c r="H254" s="116"/>
      <c r="I254" s="116"/>
      <c r="J254" s="116"/>
      <c r="K254" s="116"/>
    </row>
    <row r="255" spans="2:11" x14ac:dyDescent="0.35">
      <c r="B255" s="116"/>
      <c r="D255" s="116"/>
      <c r="E255" s="116"/>
      <c r="F255" s="116"/>
      <c r="G255" s="116"/>
      <c r="H255" s="116"/>
      <c r="I255" s="116"/>
      <c r="J255" s="116"/>
      <c r="K255" s="116"/>
    </row>
    <row r="256" spans="2:11" x14ac:dyDescent="0.35">
      <c r="B256" s="116"/>
      <c r="D256" s="116"/>
      <c r="E256" s="116"/>
      <c r="F256" s="116"/>
      <c r="G256" s="116"/>
      <c r="H256" s="116"/>
      <c r="I256" s="116"/>
      <c r="J256" s="116"/>
      <c r="K256" s="116"/>
    </row>
    <row r="257" spans="2:11" x14ac:dyDescent="0.35">
      <c r="B257" s="116"/>
      <c r="D257" s="116"/>
      <c r="E257" s="116"/>
      <c r="F257" s="116"/>
      <c r="G257" s="116"/>
      <c r="H257" s="116"/>
      <c r="I257" s="116"/>
      <c r="J257" s="116"/>
      <c r="K257" s="116"/>
    </row>
    <row r="258" spans="2:11" x14ac:dyDescent="0.35">
      <c r="B258" s="116"/>
      <c r="D258" s="116"/>
      <c r="E258" s="116"/>
      <c r="F258" s="116"/>
      <c r="G258" s="116"/>
      <c r="H258" s="116"/>
      <c r="I258" s="116"/>
      <c r="J258" s="116"/>
      <c r="K258" s="116"/>
    </row>
    <row r="259" spans="2:11" x14ac:dyDescent="0.35">
      <c r="B259" s="116"/>
      <c r="D259" s="116"/>
      <c r="E259" s="116"/>
      <c r="F259" s="116"/>
      <c r="G259" s="116"/>
      <c r="H259" s="116"/>
      <c r="I259" s="116"/>
      <c r="J259" s="116"/>
      <c r="K259" s="116"/>
    </row>
    <row r="260" spans="2:11" x14ac:dyDescent="0.35">
      <c r="B260" s="116"/>
      <c r="D260" s="116"/>
      <c r="E260" s="116"/>
      <c r="F260" s="116"/>
      <c r="G260" s="116"/>
      <c r="H260" s="116"/>
      <c r="I260" s="116"/>
      <c r="J260" s="116"/>
      <c r="K260" s="116"/>
    </row>
    <row r="261" spans="2:11" x14ac:dyDescent="0.35">
      <c r="B261" s="116"/>
      <c r="D261" s="116"/>
      <c r="E261" s="116"/>
      <c r="F261" s="116"/>
      <c r="G261" s="116"/>
      <c r="H261" s="116"/>
      <c r="I261" s="116"/>
      <c r="J261" s="116"/>
      <c r="K261" s="116"/>
    </row>
    <row r="262" spans="2:11" x14ac:dyDescent="0.35">
      <c r="B262" s="116"/>
      <c r="D262" s="116"/>
      <c r="E262" s="116"/>
      <c r="F262" s="116"/>
      <c r="G262" s="116"/>
      <c r="H262" s="116"/>
      <c r="I262" s="116"/>
      <c r="J262" s="116"/>
      <c r="K262" s="116"/>
    </row>
    <row r="263" spans="2:11" x14ac:dyDescent="0.35">
      <c r="B263" s="116"/>
      <c r="D263" s="116"/>
      <c r="E263" s="116"/>
      <c r="F263" s="116"/>
      <c r="G263" s="116"/>
      <c r="H263" s="116"/>
      <c r="I263" s="116"/>
      <c r="J263" s="116"/>
      <c r="K263" s="116"/>
    </row>
    <row r="264" spans="2:11" x14ac:dyDescent="0.35">
      <c r="B264" s="116"/>
      <c r="D264" s="116"/>
      <c r="E264" s="116"/>
      <c r="F264" s="116"/>
      <c r="G264" s="116"/>
      <c r="H264" s="116"/>
      <c r="I264" s="116"/>
      <c r="J264" s="116"/>
      <c r="K264" s="116"/>
    </row>
    <row r="265" spans="2:11" x14ac:dyDescent="0.35">
      <c r="B265" s="116"/>
      <c r="D265" s="116"/>
      <c r="E265" s="116"/>
      <c r="F265" s="116"/>
      <c r="G265" s="116"/>
      <c r="H265" s="116"/>
      <c r="I265" s="116"/>
      <c r="J265" s="116"/>
      <c r="K265" s="116"/>
    </row>
    <row r="266" spans="2:11" x14ac:dyDescent="0.35">
      <c r="B266" s="116"/>
      <c r="D266" s="116"/>
      <c r="E266" s="116"/>
      <c r="F266" s="116"/>
      <c r="G266" s="116"/>
      <c r="H266" s="116"/>
      <c r="I266" s="116"/>
      <c r="J266" s="116"/>
      <c r="K266" s="116"/>
    </row>
    <row r="267" spans="2:11" x14ac:dyDescent="0.35">
      <c r="B267" s="116"/>
      <c r="D267" s="116"/>
      <c r="E267" s="116"/>
      <c r="F267" s="116"/>
      <c r="G267" s="116"/>
      <c r="H267" s="116"/>
      <c r="I267" s="116"/>
      <c r="J267" s="116"/>
      <c r="K267" s="116"/>
    </row>
    <row r="268" spans="2:11" x14ac:dyDescent="0.35">
      <c r="B268" s="116"/>
      <c r="D268" s="116"/>
      <c r="E268" s="116"/>
      <c r="F268" s="116"/>
      <c r="G268" s="116"/>
      <c r="H268" s="116"/>
      <c r="I268" s="116"/>
      <c r="J268" s="116"/>
      <c r="K268" s="116"/>
    </row>
    <row r="269" spans="2:11" x14ac:dyDescent="0.35">
      <c r="B269" s="116"/>
      <c r="D269" s="123"/>
      <c r="E269" s="123"/>
      <c r="F269" s="123"/>
      <c r="G269" s="123"/>
      <c r="H269" s="123"/>
      <c r="I269" s="123"/>
      <c r="J269" s="123"/>
      <c r="K269" s="123"/>
    </row>
    <row r="270" spans="2:11" x14ac:dyDescent="0.35">
      <c r="B270" s="116"/>
      <c r="D270" s="123"/>
      <c r="E270" s="123"/>
      <c r="F270" s="123"/>
      <c r="G270" s="123"/>
      <c r="H270" s="123"/>
      <c r="I270" s="123"/>
      <c r="J270" s="123"/>
      <c r="K270" s="123"/>
    </row>
    <row r="271" spans="2:11" x14ac:dyDescent="0.35">
      <c r="B271" s="116"/>
      <c r="D271" s="123"/>
      <c r="E271" s="123"/>
      <c r="F271" s="123"/>
      <c r="G271" s="123"/>
      <c r="H271" s="123"/>
      <c r="I271" s="123"/>
      <c r="J271" s="123"/>
      <c r="K271" s="123"/>
    </row>
    <row r="272" spans="2:11" x14ac:dyDescent="0.35">
      <c r="B272" s="116"/>
      <c r="D272" s="123"/>
      <c r="E272" s="123"/>
      <c r="F272" s="123"/>
      <c r="G272" s="123"/>
      <c r="H272" s="123"/>
      <c r="I272" s="123"/>
      <c r="J272" s="123"/>
      <c r="K272" s="123"/>
    </row>
    <row r="273" spans="2:11" x14ac:dyDescent="0.35">
      <c r="B273" s="116"/>
      <c r="D273" s="123"/>
      <c r="E273" s="123"/>
      <c r="F273" s="123"/>
      <c r="G273" s="123"/>
      <c r="H273" s="123"/>
      <c r="I273" s="123"/>
      <c r="J273" s="123"/>
      <c r="K273" s="123"/>
    </row>
    <row r="274" spans="2:11" x14ac:dyDescent="0.35">
      <c r="B274" s="116"/>
      <c r="D274" s="123"/>
      <c r="E274" s="123"/>
      <c r="F274" s="123"/>
      <c r="G274" s="123"/>
      <c r="H274" s="123"/>
      <c r="I274" s="123"/>
      <c r="J274" s="123"/>
      <c r="K274" s="123"/>
    </row>
    <row r="275" spans="2:11" x14ac:dyDescent="0.35">
      <c r="B275" s="116"/>
      <c r="D275" s="123"/>
      <c r="E275" s="123"/>
      <c r="F275" s="123"/>
      <c r="G275" s="123"/>
      <c r="H275" s="123"/>
      <c r="I275" s="123"/>
      <c r="J275" s="123"/>
      <c r="K275" s="123"/>
    </row>
    <row r="276" spans="2:11" x14ac:dyDescent="0.35">
      <c r="B276" s="116"/>
      <c r="D276" s="123"/>
      <c r="E276" s="123"/>
      <c r="F276" s="123"/>
      <c r="G276" s="123"/>
      <c r="H276" s="123"/>
      <c r="I276" s="123"/>
      <c r="J276" s="123"/>
      <c r="K276" s="123"/>
    </row>
    <row r="277" spans="2:11" x14ac:dyDescent="0.35">
      <c r="B277" s="116"/>
      <c r="D277" s="123"/>
      <c r="E277" s="123"/>
      <c r="F277" s="123"/>
      <c r="G277" s="123"/>
      <c r="H277" s="123"/>
      <c r="I277" s="123"/>
      <c r="J277" s="123"/>
      <c r="K277" s="123"/>
    </row>
    <row r="278" spans="2:11" x14ac:dyDescent="0.35">
      <c r="B278" s="116"/>
      <c r="D278" s="123"/>
      <c r="E278" s="123"/>
      <c r="F278" s="123"/>
      <c r="G278" s="123"/>
      <c r="H278" s="123"/>
      <c r="I278" s="123"/>
      <c r="J278" s="123"/>
      <c r="K278" s="123"/>
    </row>
    <row r="279" spans="2:11" x14ac:dyDescent="0.35">
      <c r="B279" s="116"/>
      <c r="D279" s="123"/>
      <c r="E279" s="123"/>
      <c r="F279" s="123"/>
      <c r="G279" s="123"/>
      <c r="H279" s="123"/>
      <c r="I279" s="123"/>
      <c r="J279" s="123"/>
      <c r="K279" s="123"/>
    </row>
    <row r="280" spans="2:11" x14ac:dyDescent="0.35">
      <c r="B280" s="116"/>
      <c r="D280" s="123"/>
      <c r="E280" s="123"/>
      <c r="F280" s="123"/>
      <c r="G280" s="123"/>
      <c r="H280" s="123"/>
      <c r="I280" s="123"/>
      <c r="J280" s="123"/>
      <c r="K280" s="123"/>
    </row>
    <row r="281" spans="2:11" x14ac:dyDescent="0.35">
      <c r="B281" s="116"/>
      <c r="D281" s="123"/>
      <c r="E281" s="123"/>
      <c r="F281" s="123"/>
      <c r="G281" s="123"/>
      <c r="H281" s="123"/>
      <c r="I281" s="123"/>
      <c r="J281" s="123"/>
      <c r="K281" s="123"/>
    </row>
    <row r="282" spans="2:11" x14ac:dyDescent="0.35">
      <c r="B282" s="116"/>
      <c r="D282" s="123"/>
      <c r="E282" s="123"/>
      <c r="F282" s="123"/>
      <c r="G282" s="123"/>
      <c r="H282" s="123"/>
      <c r="I282" s="123"/>
      <c r="J282" s="123"/>
      <c r="K282" s="123"/>
    </row>
    <row r="283" spans="2:11" x14ac:dyDescent="0.35">
      <c r="B283" s="116"/>
      <c r="D283" s="123"/>
      <c r="E283" s="123"/>
      <c r="F283" s="123"/>
      <c r="G283" s="123"/>
      <c r="H283" s="123"/>
      <c r="I283" s="123"/>
      <c r="J283" s="123"/>
      <c r="K283" s="123"/>
    </row>
    <row r="284" spans="2:11" x14ac:dyDescent="0.35">
      <c r="B284" s="116"/>
      <c r="D284" s="123"/>
      <c r="E284" s="123"/>
      <c r="F284" s="123"/>
      <c r="G284" s="123"/>
      <c r="H284" s="123"/>
      <c r="I284" s="123"/>
      <c r="J284" s="123"/>
      <c r="K284" s="123"/>
    </row>
    <row r="285" spans="2:11" x14ac:dyDescent="0.35">
      <c r="B285" s="117"/>
      <c r="D285" s="123"/>
      <c r="E285" s="123"/>
      <c r="F285" s="123"/>
      <c r="G285" s="123"/>
      <c r="H285" s="123"/>
      <c r="I285" s="123"/>
      <c r="J285" s="123"/>
      <c r="K285" s="123"/>
    </row>
    <row r="286" spans="2:11" x14ac:dyDescent="0.35">
      <c r="B286" s="57"/>
      <c r="D286" s="124"/>
      <c r="E286" s="124"/>
      <c r="F286" s="124"/>
      <c r="G286" s="124"/>
      <c r="H286" s="124"/>
      <c r="I286" s="124"/>
      <c r="J286" s="124"/>
      <c r="K286" s="124"/>
    </row>
    <row r="287" spans="2:11" x14ac:dyDescent="0.35">
      <c r="B287" s="57"/>
    </row>
    <row r="288" spans="2:11" x14ac:dyDescent="0.35">
      <c r="B288" s="57"/>
    </row>
    <row r="289" spans="2:2" x14ac:dyDescent="0.35">
      <c r="B289" s="57"/>
    </row>
    <row r="290" spans="2:2" x14ac:dyDescent="0.35">
      <c r="B290" s="57"/>
    </row>
    <row r="291" spans="2:2" x14ac:dyDescent="0.35">
      <c r="B291" s="57"/>
    </row>
    <row r="292" spans="2:2" x14ac:dyDescent="0.35">
      <c r="B292" s="57"/>
    </row>
    <row r="293" spans="2:2" x14ac:dyDescent="0.35">
      <c r="B293" s="57"/>
    </row>
    <row r="294" spans="2:2" x14ac:dyDescent="0.35">
      <c r="B294" s="57"/>
    </row>
    <row r="295" spans="2:2" x14ac:dyDescent="0.35">
      <c r="B295" s="57"/>
    </row>
    <row r="296" spans="2:2" x14ac:dyDescent="0.35">
      <c r="B296" s="57"/>
    </row>
    <row r="297" spans="2:2" x14ac:dyDescent="0.35">
      <c r="B297" s="57"/>
    </row>
    <row r="298" spans="2:2" x14ac:dyDescent="0.35">
      <c r="B298" s="57"/>
    </row>
    <row r="299" spans="2:2" x14ac:dyDescent="0.35">
      <c r="B299" s="57"/>
    </row>
    <row r="300" spans="2:2" x14ac:dyDescent="0.35">
      <c r="B300" s="57"/>
    </row>
    <row r="301" spans="2:2" x14ac:dyDescent="0.35">
      <c r="B301" s="57"/>
    </row>
    <row r="302" spans="2:2" x14ac:dyDescent="0.35">
      <c r="B302" s="57"/>
    </row>
    <row r="303" spans="2:2" x14ac:dyDescent="0.35">
      <c r="B303" s="57"/>
    </row>
    <row r="304" spans="2:2"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row r="457" spans="2:2" x14ac:dyDescent="0.35">
      <c r="B457" s="57"/>
    </row>
    <row r="458" spans="2:2" x14ac:dyDescent="0.35">
      <c r="B458" s="57"/>
    </row>
    <row r="459" spans="2:2" x14ac:dyDescent="0.35">
      <c r="B459" s="57"/>
    </row>
    <row r="460" spans="2:2" x14ac:dyDescent="0.35">
      <c r="B460" s="57"/>
    </row>
    <row r="461" spans="2:2" x14ac:dyDescent="0.35">
      <c r="B461" s="57"/>
    </row>
    <row r="462" spans="2:2" x14ac:dyDescent="0.35">
      <c r="B462" s="57"/>
    </row>
    <row r="463" spans="2:2" x14ac:dyDescent="0.35">
      <c r="B463" s="57"/>
    </row>
    <row r="464" spans="2:2" x14ac:dyDescent="0.35">
      <c r="B464" s="57"/>
    </row>
    <row r="465" spans="2:2" x14ac:dyDescent="0.35">
      <c r="B465" s="57"/>
    </row>
    <row r="466" spans="2:2" x14ac:dyDescent="0.35">
      <c r="B466" s="57"/>
    </row>
    <row r="467" spans="2:2" x14ac:dyDescent="0.35">
      <c r="B467" s="57"/>
    </row>
    <row r="468" spans="2:2" x14ac:dyDescent="0.35">
      <c r="B468" s="57"/>
    </row>
    <row r="469" spans="2:2" x14ac:dyDescent="0.35">
      <c r="B469" s="57"/>
    </row>
    <row r="470" spans="2:2" x14ac:dyDescent="0.35">
      <c r="B470" s="57"/>
    </row>
    <row r="471" spans="2:2" x14ac:dyDescent="0.35">
      <c r="B471" s="57"/>
    </row>
    <row r="472" spans="2:2" x14ac:dyDescent="0.35">
      <c r="B472" s="57"/>
    </row>
    <row r="473" spans="2:2" x14ac:dyDescent="0.35">
      <c r="B473" s="57"/>
    </row>
    <row r="474" spans="2:2" x14ac:dyDescent="0.35">
      <c r="B474" s="57"/>
    </row>
    <row r="475" spans="2:2" x14ac:dyDescent="0.35">
      <c r="B475" s="57"/>
    </row>
    <row r="476" spans="2:2" x14ac:dyDescent="0.35">
      <c r="B476" s="57"/>
    </row>
    <row r="477" spans="2:2" x14ac:dyDescent="0.35">
      <c r="B477" s="57"/>
    </row>
    <row r="478" spans="2:2" x14ac:dyDescent="0.35">
      <c r="B478" s="57"/>
    </row>
    <row r="479" spans="2:2" x14ac:dyDescent="0.35">
      <c r="B479" s="57"/>
    </row>
    <row r="480" spans="2:2" x14ac:dyDescent="0.35">
      <c r="B480" s="57"/>
    </row>
    <row r="481" spans="2:2" x14ac:dyDescent="0.35">
      <c r="B481" s="57"/>
    </row>
    <row r="482" spans="2:2" x14ac:dyDescent="0.35">
      <c r="B482" s="57"/>
    </row>
    <row r="483" spans="2:2" x14ac:dyDescent="0.35">
      <c r="B483" s="57"/>
    </row>
    <row r="484" spans="2:2" x14ac:dyDescent="0.35">
      <c r="B484" s="57"/>
    </row>
    <row r="485" spans="2:2" x14ac:dyDescent="0.35">
      <c r="B485" s="57"/>
    </row>
    <row r="486" spans="2:2" x14ac:dyDescent="0.35">
      <c r="B486" s="57"/>
    </row>
    <row r="487" spans="2:2" x14ac:dyDescent="0.35">
      <c r="B487" s="57"/>
    </row>
    <row r="488" spans="2:2" x14ac:dyDescent="0.35">
      <c r="B488" s="57"/>
    </row>
    <row r="489" spans="2:2" x14ac:dyDescent="0.35">
      <c r="B489" s="57"/>
    </row>
    <row r="490" spans="2:2" x14ac:dyDescent="0.35">
      <c r="B490" s="57"/>
    </row>
    <row r="491" spans="2:2" x14ac:dyDescent="0.35">
      <c r="B491" s="57"/>
    </row>
    <row r="492" spans="2:2" x14ac:dyDescent="0.35">
      <c r="B492" s="57"/>
    </row>
    <row r="493" spans="2:2" x14ac:dyDescent="0.35">
      <c r="B493" s="57"/>
    </row>
    <row r="494" spans="2:2" x14ac:dyDescent="0.35">
      <c r="B494" s="57"/>
    </row>
    <row r="495" spans="2:2" x14ac:dyDescent="0.35">
      <c r="B495" s="57"/>
    </row>
    <row r="496" spans="2:2" x14ac:dyDescent="0.35">
      <c r="B496" s="57"/>
    </row>
    <row r="497" spans="2:2" x14ac:dyDescent="0.35">
      <c r="B497" s="57"/>
    </row>
    <row r="498" spans="2:2" x14ac:dyDescent="0.35">
      <c r="B498" s="57"/>
    </row>
    <row r="499" spans="2:2" x14ac:dyDescent="0.35">
      <c r="B499" s="57"/>
    </row>
    <row r="500" spans="2:2" x14ac:dyDescent="0.35">
      <c r="B500" s="57"/>
    </row>
    <row r="501" spans="2:2" x14ac:dyDescent="0.35">
      <c r="B501" s="57"/>
    </row>
    <row r="502" spans="2:2" x14ac:dyDescent="0.35">
      <c r="B502" s="57"/>
    </row>
    <row r="503" spans="2:2" x14ac:dyDescent="0.35">
      <c r="B503" s="57"/>
    </row>
    <row r="504" spans="2:2" x14ac:dyDescent="0.35">
      <c r="B504" s="57"/>
    </row>
    <row r="505" spans="2:2" x14ac:dyDescent="0.35">
      <c r="B505" s="57"/>
    </row>
    <row r="506" spans="2:2" x14ac:dyDescent="0.35">
      <c r="B506" s="57"/>
    </row>
    <row r="507" spans="2:2" x14ac:dyDescent="0.35">
      <c r="B507" s="57"/>
    </row>
    <row r="508" spans="2:2" x14ac:dyDescent="0.35">
      <c r="B508" s="57"/>
    </row>
    <row r="509" spans="2:2" x14ac:dyDescent="0.35">
      <c r="B509" s="57"/>
    </row>
    <row r="510" spans="2:2" x14ac:dyDescent="0.35">
      <c r="B510" s="57"/>
    </row>
    <row r="511" spans="2:2" x14ac:dyDescent="0.35">
      <c r="B511" s="57"/>
    </row>
    <row r="512" spans="2:2" x14ac:dyDescent="0.35">
      <c r="B512" s="57"/>
    </row>
    <row r="513" spans="2:2" x14ac:dyDescent="0.35">
      <c r="B513" s="57"/>
    </row>
    <row r="514" spans="2:2" x14ac:dyDescent="0.35">
      <c r="B514" s="57"/>
    </row>
    <row r="515" spans="2:2" x14ac:dyDescent="0.35">
      <c r="B515" s="57"/>
    </row>
    <row r="516" spans="2:2" x14ac:dyDescent="0.35">
      <c r="B516" s="57"/>
    </row>
    <row r="517" spans="2:2" x14ac:dyDescent="0.35">
      <c r="B517" s="57"/>
    </row>
    <row r="518" spans="2:2" x14ac:dyDescent="0.35">
      <c r="B518" s="57"/>
    </row>
    <row r="519" spans="2:2" x14ac:dyDescent="0.35">
      <c r="B519" s="57"/>
    </row>
    <row r="520" spans="2:2" x14ac:dyDescent="0.35">
      <c r="B520" s="57"/>
    </row>
    <row r="521" spans="2:2" x14ac:dyDescent="0.35">
      <c r="B521" s="57"/>
    </row>
    <row r="522" spans="2:2" x14ac:dyDescent="0.35">
      <c r="B522" s="57"/>
    </row>
    <row r="523" spans="2:2" x14ac:dyDescent="0.35">
      <c r="B523" s="57"/>
    </row>
    <row r="524" spans="2:2" x14ac:dyDescent="0.35">
      <c r="B524" s="57"/>
    </row>
    <row r="525" spans="2:2" x14ac:dyDescent="0.35">
      <c r="B525" s="57"/>
    </row>
    <row r="526" spans="2:2" x14ac:dyDescent="0.35">
      <c r="B526" s="57"/>
    </row>
    <row r="527" spans="2:2" x14ac:dyDescent="0.35">
      <c r="B527" s="57"/>
    </row>
    <row r="528" spans="2:2" x14ac:dyDescent="0.35">
      <c r="B528" s="57"/>
    </row>
    <row r="529" spans="2:2" x14ac:dyDescent="0.35">
      <c r="B529" s="57"/>
    </row>
    <row r="530" spans="2:2" x14ac:dyDescent="0.35">
      <c r="B530" s="57"/>
    </row>
    <row r="531" spans="2:2" x14ac:dyDescent="0.35">
      <c r="B531" s="57"/>
    </row>
    <row r="532" spans="2:2" x14ac:dyDescent="0.35">
      <c r="B532" s="57"/>
    </row>
    <row r="533" spans="2:2" x14ac:dyDescent="0.35">
      <c r="B533" s="57"/>
    </row>
    <row r="534" spans="2:2" x14ac:dyDescent="0.35">
      <c r="B534" s="57"/>
    </row>
    <row r="535" spans="2:2" x14ac:dyDescent="0.35">
      <c r="B535" s="57"/>
    </row>
    <row r="536" spans="2:2" x14ac:dyDescent="0.35">
      <c r="B536" s="57"/>
    </row>
    <row r="537" spans="2:2" x14ac:dyDescent="0.35">
      <c r="B537" s="57"/>
    </row>
    <row r="538" spans="2:2" x14ac:dyDescent="0.35">
      <c r="B538" s="57"/>
    </row>
    <row r="539" spans="2:2" x14ac:dyDescent="0.35">
      <c r="B539" s="57"/>
    </row>
    <row r="540" spans="2:2" x14ac:dyDescent="0.35">
      <c r="B540" s="57"/>
    </row>
    <row r="541" spans="2:2" x14ac:dyDescent="0.35">
      <c r="B541" s="57"/>
    </row>
    <row r="542" spans="2:2" x14ac:dyDescent="0.35">
      <c r="B542" s="57"/>
    </row>
    <row r="543" spans="2:2" x14ac:dyDescent="0.35">
      <c r="B543" s="57"/>
    </row>
    <row r="544" spans="2:2" x14ac:dyDescent="0.35">
      <c r="B544" s="57"/>
    </row>
    <row r="545" spans="2:2" x14ac:dyDescent="0.35">
      <c r="B545" s="57"/>
    </row>
    <row r="546" spans="2:2" x14ac:dyDescent="0.35">
      <c r="B546" s="57"/>
    </row>
    <row r="547" spans="2:2" x14ac:dyDescent="0.35">
      <c r="B547" s="57"/>
    </row>
    <row r="548" spans="2:2" x14ac:dyDescent="0.35">
      <c r="B548" s="57"/>
    </row>
    <row r="549" spans="2:2" x14ac:dyDescent="0.35">
      <c r="B549" s="57"/>
    </row>
    <row r="550" spans="2:2" x14ac:dyDescent="0.35">
      <c r="B550" s="57"/>
    </row>
    <row r="551" spans="2:2" x14ac:dyDescent="0.35">
      <c r="B551" s="57"/>
    </row>
    <row r="552" spans="2:2" x14ac:dyDescent="0.35">
      <c r="B552" s="57"/>
    </row>
    <row r="553" spans="2:2" x14ac:dyDescent="0.35">
      <c r="B553" s="57"/>
    </row>
    <row r="554" spans="2:2" x14ac:dyDescent="0.35">
      <c r="B554" s="57"/>
    </row>
    <row r="555" spans="2:2" x14ac:dyDescent="0.35">
      <c r="B555" s="57"/>
    </row>
    <row r="556" spans="2:2" x14ac:dyDescent="0.35">
      <c r="B556" s="57"/>
    </row>
    <row r="557" spans="2:2" x14ac:dyDescent="0.35">
      <c r="B557" s="57"/>
    </row>
    <row r="558" spans="2:2" x14ac:dyDescent="0.35">
      <c r="B558" s="57"/>
    </row>
    <row r="559" spans="2:2" x14ac:dyDescent="0.35">
      <c r="B559" s="57"/>
    </row>
    <row r="560" spans="2:2" x14ac:dyDescent="0.35">
      <c r="B560" s="57"/>
    </row>
    <row r="561" spans="2:2" x14ac:dyDescent="0.35">
      <c r="B561" s="57"/>
    </row>
    <row r="562" spans="2:2" x14ac:dyDescent="0.35">
      <c r="B562" s="57"/>
    </row>
    <row r="563" spans="2:2" x14ac:dyDescent="0.35">
      <c r="B563" s="57"/>
    </row>
    <row r="564" spans="2:2" x14ac:dyDescent="0.35">
      <c r="B564" s="57"/>
    </row>
    <row r="565" spans="2:2" x14ac:dyDescent="0.35">
      <c r="B565" s="57"/>
    </row>
    <row r="566" spans="2:2" x14ac:dyDescent="0.35">
      <c r="B566" s="57"/>
    </row>
    <row r="567" spans="2:2" x14ac:dyDescent="0.35">
      <c r="B567" s="57"/>
    </row>
    <row r="568" spans="2:2" x14ac:dyDescent="0.35">
      <c r="B568" s="57"/>
    </row>
    <row r="569" spans="2:2" x14ac:dyDescent="0.35">
      <c r="B569" s="57"/>
    </row>
    <row r="570" spans="2:2" x14ac:dyDescent="0.35">
      <c r="B570" s="57"/>
    </row>
    <row r="571" spans="2:2" x14ac:dyDescent="0.35">
      <c r="B571" s="57"/>
    </row>
    <row r="572" spans="2:2" x14ac:dyDescent="0.35">
      <c r="B572" s="57"/>
    </row>
    <row r="573" spans="2:2" x14ac:dyDescent="0.35">
      <c r="B573" s="57"/>
    </row>
    <row r="574" spans="2:2" x14ac:dyDescent="0.35">
      <c r="B574" s="57"/>
    </row>
    <row r="575" spans="2:2" x14ac:dyDescent="0.35">
      <c r="B575" s="57"/>
    </row>
    <row r="576" spans="2:2" x14ac:dyDescent="0.35">
      <c r="B576" s="57"/>
    </row>
    <row r="577" spans="2:2" x14ac:dyDescent="0.35">
      <c r="B577" s="57"/>
    </row>
    <row r="578" spans="2:2" x14ac:dyDescent="0.35">
      <c r="B578" s="57"/>
    </row>
    <row r="579" spans="2:2" x14ac:dyDescent="0.35">
      <c r="B579" s="57"/>
    </row>
    <row r="580" spans="2:2" x14ac:dyDescent="0.35">
      <c r="B580" s="57"/>
    </row>
    <row r="581" spans="2:2" x14ac:dyDescent="0.35">
      <c r="B581" s="57"/>
    </row>
    <row r="603" spans="2:2" x14ac:dyDescent="0.35">
      <c r="B603" s="4" t="e">
        <f t="shared" ref="B603:B614" si="4">VLOOKUP(A603,$C$20:$V$10018,1+$A$1)</f>
        <v>#N/A</v>
      </c>
    </row>
    <row r="604" spans="2:2" x14ac:dyDescent="0.35">
      <c r="B604" s="4" t="e">
        <f t="shared" si="4"/>
        <v>#N/A</v>
      </c>
    </row>
    <row r="605" spans="2:2" x14ac:dyDescent="0.35">
      <c r="B605" s="4" t="e">
        <f t="shared" si="4"/>
        <v>#N/A</v>
      </c>
    </row>
    <row r="606" spans="2:2" x14ac:dyDescent="0.35">
      <c r="B606" s="4" t="e">
        <f t="shared" si="4"/>
        <v>#N/A</v>
      </c>
    </row>
    <row r="607" spans="2:2" x14ac:dyDescent="0.35">
      <c r="B607" s="4" t="e">
        <f t="shared" si="4"/>
        <v>#N/A</v>
      </c>
    </row>
    <row r="608" spans="2:2" x14ac:dyDescent="0.35">
      <c r="B608" s="4" t="e">
        <f t="shared" si="4"/>
        <v>#N/A</v>
      </c>
    </row>
    <row r="609" spans="2:2" x14ac:dyDescent="0.35">
      <c r="B609" s="4" t="e">
        <f t="shared" si="4"/>
        <v>#N/A</v>
      </c>
    </row>
    <row r="610" spans="2:2" x14ac:dyDescent="0.35">
      <c r="B610" s="4" t="e">
        <f t="shared" si="4"/>
        <v>#N/A</v>
      </c>
    </row>
    <row r="611" spans="2:2" x14ac:dyDescent="0.35">
      <c r="B611" s="4" t="e">
        <f t="shared" si="4"/>
        <v>#N/A</v>
      </c>
    </row>
    <row r="612" spans="2:2" x14ac:dyDescent="0.35">
      <c r="B612" s="4" t="e">
        <f t="shared" si="4"/>
        <v>#N/A</v>
      </c>
    </row>
    <row r="613" spans="2:2" x14ac:dyDescent="0.35">
      <c r="B613" s="4" t="e">
        <f t="shared" si="4"/>
        <v>#N/A</v>
      </c>
    </row>
    <row r="614" spans="2:2" x14ac:dyDescent="0.35">
      <c r="B614" s="4" t="e">
        <f t="shared" si="4"/>
        <v>#N/A</v>
      </c>
    </row>
  </sheetData>
  <sheetProtection formatRows="0" selectLockedCells="1"/>
  <pageMargins left="0.75" right="0.75" top="1" bottom="1" header="0.5" footer="0.5"/>
  <pageSetup paperSize="9" orientation="portrait"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dimension ref="A1:G581"/>
  <sheetViews>
    <sheetView workbookViewId="0">
      <selection activeCell="N153" sqref="N153"/>
    </sheetView>
  </sheetViews>
  <sheetFormatPr baseColWidth="10" defaultColWidth="10.81640625" defaultRowHeight="14.5" x14ac:dyDescent="0.35"/>
  <cols>
    <col min="1" max="1" width="9.453125" style="4" customWidth="1"/>
    <col min="2" max="2" width="51.81640625" style="4" customWidth="1"/>
    <col min="3" max="3" width="7.26953125" style="4" customWidth="1"/>
    <col min="4" max="7" width="63" style="4" customWidth="1"/>
    <col min="8" max="16384" width="10.81640625" style="4"/>
  </cols>
  <sheetData>
    <row r="1" spans="1:7" ht="26.5" thickBot="1" x14ac:dyDescent="0.4">
      <c r="A1" s="112">
        <f>'Languages Available'!B1</f>
        <v>4</v>
      </c>
      <c r="B1" s="126" t="s">
        <v>1318</v>
      </c>
      <c r="C1" s="127"/>
      <c r="D1" s="111" t="str">
        <f>'General Info'!C4</f>
        <v>Deutsch</v>
      </c>
    </row>
    <row r="2" spans="1:7" x14ac:dyDescent="0.35">
      <c r="D2" s="4">
        <v>1</v>
      </c>
      <c r="E2" s="4">
        <v>2</v>
      </c>
      <c r="F2" s="4">
        <v>3</v>
      </c>
      <c r="G2" s="4">
        <v>4</v>
      </c>
    </row>
    <row r="3" spans="1:7" ht="21" x14ac:dyDescent="0.35">
      <c r="B3" s="114" t="s">
        <v>1316</v>
      </c>
      <c r="C3" s="113"/>
      <c r="D3" s="125" t="str">
        <f>VLOOKUP(D2,'Languages Available'!$A$3:$B$23,2)</f>
        <v>English</v>
      </c>
      <c r="E3" s="125" t="str">
        <f>VLOOKUP(E2,'Languages Available'!$A$3:$B$23,2)</f>
        <v>Dutch</v>
      </c>
      <c r="F3" s="125" t="str">
        <f>VLOOKUP(F2,'Languages Available'!$A$3:$B$23,2)</f>
        <v>Français</v>
      </c>
      <c r="G3" s="125" t="str">
        <f>VLOOKUP(G2,'Languages Available'!$A$3:$B$23,2)</f>
        <v>Deutsch</v>
      </c>
    </row>
    <row r="4" spans="1:7" ht="203" x14ac:dyDescent="0.35">
      <c r="A4" s="4">
        <f t="shared" ref="A4:A5" si="0">C4</f>
        <v>1</v>
      </c>
      <c r="B4" s="115" t="str">
        <f>VLOOKUP(A4,$C$3:$AZ$199,1+'Languages Old'!$A$1)</f>
        <v>Ich bin ein berliner
Suspendisse hendrerit ligula eget odio. Sed erat nisi, rhoncus id, imperdiet quis, blandit et, felis. In at nulla mattis neque commodo venenatis. Cras ultrices tincidunt risus. Quisque dictum diam adipiscing arcu. In diam turpis, suscipit fringilla, dapibus quis, dictum ut, ipsum. Phasellus id elit in dui bibendum bibendum.
Ut metus diam, lacinia ut, tincidunt eu, dapibus sit amet, mauris. Donec varius, felis eget lobortis vehicula, magna sapien elementum tellus, ut iaculis dui orci sed arcu. Nam nibh erat, auctor sit amet, commodo ut, ornare id, ante. In imperdiet, justo id eleifend faucibus, urna dolor consectetuer dui, vel pretium risus purus sed pede.Etiam rutrum libero posuere libero.</v>
      </c>
      <c r="C4" s="4">
        <v>1</v>
      </c>
      <c r="D4" s="115" t="s">
        <v>1721</v>
      </c>
      <c r="E4" s="115" t="s">
        <v>1720</v>
      </c>
      <c r="F4" s="115" t="s">
        <v>1719</v>
      </c>
      <c r="G4" s="115" t="s">
        <v>1722</v>
      </c>
    </row>
    <row r="5" spans="1:7" x14ac:dyDescent="0.35">
      <c r="A5" s="4">
        <f t="shared" si="0"/>
        <v>2</v>
      </c>
      <c r="B5" s="116" t="str">
        <f>VLOOKUP(A5,$C$3:$AZ$199,1+'Languages Old'!$A$1)</f>
        <v>Help in Deutsch</v>
      </c>
      <c r="C5" s="4">
        <v>2</v>
      </c>
      <c r="D5" s="116" t="s">
        <v>1717</v>
      </c>
      <c r="E5" s="116" t="s">
        <v>1718</v>
      </c>
      <c r="F5" s="116" t="s">
        <v>1718</v>
      </c>
      <c r="G5" s="116" t="s">
        <v>1723</v>
      </c>
    </row>
    <row r="6" spans="1:7" x14ac:dyDescent="0.35">
      <c r="B6" s="116"/>
      <c r="D6" s="116"/>
      <c r="E6" s="116"/>
      <c r="F6" s="116"/>
      <c r="G6" s="116"/>
    </row>
    <row r="7" spans="1:7" x14ac:dyDescent="0.35">
      <c r="B7" s="116"/>
      <c r="D7" s="116"/>
      <c r="E7" s="116"/>
      <c r="F7" s="116"/>
      <c r="G7" s="116"/>
    </row>
    <row r="8" spans="1:7" x14ac:dyDescent="0.35">
      <c r="B8" s="116"/>
      <c r="D8" s="116"/>
      <c r="E8" s="116"/>
      <c r="F8" s="116"/>
      <c r="G8" s="116"/>
    </row>
    <row r="9" spans="1:7" x14ac:dyDescent="0.35">
      <c r="B9" s="116"/>
      <c r="D9" s="116"/>
      <c r="E9" s="116"/>
      <c r="F9" s="116"/>
      <c r="G9" s="116"/>
    </row>
    <row r="10" spans="1:7" x14ac:dyDescent="0.35">
      <c r="B10" s="116"/>
      <c r="D10" s="116"/>
      <c r="E10" s="116"/>
      <c r="F10" s="116"/>
      <c r="G10" s="116"/>
    </row>
    <row r="11" spans="1:7" x14ac:dyDescent="0.35">
      <c r="B11" s="116"/>
      <c r="D11" s="116"/>
      <c r="E11" s="116"/>
      <c r="F11" s="116"/>
      <c r="G11" s="116"/>
    </row>
    <row r="12" spans="1:7" x14ac:dyDescent="0.35">
      <c r="B12" s="116"/>
      <c r="D12" s="116"/>
      <c r="E12" s="116"/>
      <c r="F12" s="116"/>
      <c r="G12" s="116"/>
    </row>
    <row r="13" spans="1:7" x14ac:dyDescent="0.35">
      <c r="B13" s="116"/>
      <c r="D13" s="116"/>
      <c r="E13" s="116"/>
      <c r="F13" s="116"/>
      <c r="G13" s="116"/>
    </row>
    <row r="14" spans="1:7" x14ac:dyDescent="0.35">
      <c r="B14" s="116"/>
      <c r="D14" s="116"/>
      <c r="E14" s="116"/>
      <c r="F14" s="116"/>
      <c r="G14" s="116"/>
    </row>
    <row r="15" spans="1:7" x14ac:dyDescent="0.35">
      <c r="B15" s="116"/>
      <c r="D15" s="116"/>
      <c r="E15" s="116"/>
      <c r="F15" s="116"/>
      <c r="G15" s="116"/>
    </row>
    <row r="16" spans="1:7" x14ac:dyDescent="0.35">
      <c r="B16" s="116"/>
      <c r="D16" s="116"/>
      <c r="E16" s="116"/>
      <c r="F16" s="116"/>
      <c r="G16" s="116"/>
    </row>
    <row r="17" spans="2:7" x14ac:dyDescent="0.35">
      <c r="B17" s="116"/>
      <c r="D17" s="116"/>
      <c r="E17" s="116"/>
      <c r="F17" s="116"/>
      <c r="G17" s="116"/>
    </row>
    <row r="18" spans="2:7" x14ac:dyDescent="0.35">
      <c r="B18" s="116"/>
      <c r="D18" s="116"/>
      <c r="E18" s="116"/>
      <c r="F18" s="116"/>
      <c r="G18" s="116"/>
    </row>
    <row r="19" spans="2:7" x14ac:dyDescent="0.35">
      <c r="B19" s="116"/>
      <c r="D19" s="116"/>
      <c r="E19" s="116"/>
      <c r="F19" s="116"/>
      <c r="G19" s="116"/>
    </row>
    <row r="20" spans="2:7" x14ac:dyDescent="0.35">
      <c r="B20" s="116"/>
      <c r="D20" s="116"/>
      <c r="E20" s="116"/>
      <c r="F20" s="116"/>
      <c r="G20" s="116"/>
    </row>
    <row r="21" spans="2:7" x14ac:dyDescent="0.35">
      <c r="B21" s="116"/>
      <c r="D21" s="116"/>
      <c r="E21" s="116"/>
      <c r="F21" s="116"/>
      <c r="G21" s="116"/>
    </row>
    <row r="22" spans="2:7" x14ac:dyDescent="0.35">
      <c r="B22" s="116"/>
      <c r="D22" s="116"/>
      <c r="E22" s="116"/>
      <c r="F22" s="116"/>
      <c r="G22" s="116"/>
    </row>
    <row r="23" spans="2:7" x14ac:dyDescent="0.35">
      <c r="B23" s="116"/>
      <c r="D23" s="116"/>
      <c r="E23" s="116"/>
      <c r="F23" s="116"/>
      <c r="G23" s="116"/>
    </row>
    <row r="24" spans="2:7" x14ac:dyDescent="0.35">
      <c r="B24" s="116"/>
      <c r="D24" s="116"/>
      <c r="E24" s="116"/>
      <c r="F24" s="116"/>
      <c r="G24" s="116"/>
    </row>
    <row r="25" spans="2:7" x14ac:dyDescent="0.35">
      <c r="B25" s="116"/>
      <c r="D25" s="116"/>
      <c r="E25" s="116"/>
      <c r="F25" s="116"/>
      <c r="G25" s="116"/>
    </row>
    <row r="26" spans="2:7" x14ac:dyDescent="0.35">
      <c r="B26" s="116"/>
      <c r="D26" s="116"/>
      <c r="E26" s="116"/>
      <c r="F26" s="116"/>
      <c r="G26" s="116"/>
    </row>
    <row r="27" spans="2:7" x14ac:dyDescent="0.35">
      <c r="B27" s="116"/>
      <c r="D27" s="116"/>
      <c r="E27" s="116"/>
      <c r="F27" s="116"/>
      <c r="G27" s="116"/>
    </row>
    <row r="28" spans="2:7" x14ac:dyDescent="0.35">
      <c r="B28" s="116"/>
      <c r="D28" s="116"/>
      <c r="E28" s="116"/>
      <c r="F28" s="116"/>
      <c r="G28" s="116"/>
    </row>
    <row r="29" spans="2:7" x14ac:dyDescent="0.35">
      <c r="B29" s="116"/>
      <c r="D29" s="116"/>
      <c r="E29" s="116"/>
      <c r="F29" s="116"/>
      <c r="G29" s="116"/>
    </row>
    <row r="30" spans="2:7" x14ac:dyDescent="0.35">
      <c r="B30" s="116"/>
      <c r="D30" s="116"/>
      <c r="E30" s="116"/>
      <c r="F30" s="116"/>
      <c r="G30" s="116"/>
    </row>
    <row r="31" spans="2:7" x14ac:dyDescent="0.35">
      <c r="B31" s="116"/>
      <c r="D31" s="116"/>
      <c r="E31" s="116"/>
      <c r="F31" s="116"/>
      <c r="G31" s="116"/>
    </row>
    <row r="32" spans="2:7" x14ac:dyDescent="0.35">
      <c r="B32" s="116"/>
      <c r="D32" s="116"/>
      <c r="E32" s="116"/>
      <c r="F32" s="116"/>
      <c r="G32" s="116"/>
    </row>
    <row r="33" spans="2:7" x14ac:dyDescent="0.35">
      <c r="B33" s="116"/>
      <c r="D33" s="116"/>
      <c r="E33" s="116"/>
      <c r="F33" s="116"/>
      <c r="G33" s="116"/>
    </row>
    <row r="34" spans="2:7" x14ac:dyDescent="0.35">
      <c r="B34" s="116"/>
      <c r="D34" s="116"/>
      <c r="E34" s="116"/>
      <c r="F34" s="116"/>
      <c r="G34" s="116"/>
    </row>
    <row r="35" spans="2:7" x14ac:dyDescent="0.35">
      <c r="B35" s="116"/>
      <c r="D35" s="116"/>
      <c r="E35" s="116"/>
      <c r="F35" s="116"/>
      <c r="G35" s="116"/>
    </row>
    <row r="36" spans="2:7" x14ac:dyDescent="0.35">
      <c r="B36" s="116"/>
      <c r="D36" s="116"/>
      <c r="E36" s="116"/>
      <c r="F36" s="116"/>
      <c r="G36" s="116"/>
    </row>
    <row r="37" spans="2:7" x14ac:dyDescent="0.35">
      <c r="B37" s="116"/>
      <c r="D37" s="116"/>
      <c r="E37" s="116"/>
      <c r="F37" s="116"/>
      <c r="G37" s="116"/>
    </row>
    <row r="38" spans="2:7" x14ac:dyDescent="0.35">
      <c r="B38" s="116"/>
      <c r="D38" s="116"/>
      <c r="E38" s="116"/>
      <c r="F38" s="116"/>
      <c r="G38" s="116"/>
    </row>
    <row r="39" spans="2:7" x14ac:dyDescent="0.35">
      <c r="B39" s="116"/>
      <c r="D39" s="116"/>
      <c r="E39" s="116"/>
      <c r="F39" s="116"/>
      <c r="G39" s="116"/>
    </row>
    <row r="40" spans="2:7" x14ac:dyDescent="0.35">
      <c r="B40" s="116"/>
      <c r="D40" s="116"/>
      <c r="E40" s="116"/>
      <c r="F40" s="116"/>
      <c r="G40" s="116"/>
    </row>
    <row r="41" spans="2:7" x14ac:dyDescent="0.35">
      <c r="B41" s="116"/>
      <c r="D41" s="116"/>
      <c r="E41" s="116"/>
      <c r="F41" s="116"/>
      <c r="G41" s="116"/>
    </row>
    <row r="42" spans="2:7" x14ac:dyDescent="0.35">
      <c r="B42" s="116"/>
      <c r="D42" s="116"/>
      <c r="E42" s="116"/>
      <c r="F42" s="116"/>
      <c r="G42" s="116"/>
    </row>
    <row r="43" spans="2:7" x14ac:dyDescent="0.35">
      <c r="B43" s="116"/>
      <c r="D43" s="116"/>
      <c r="E43" s="116"/>
      <c r="F43" s="116"/>
      <c r="G43" s="116"/>
    </row>
    <row r="44" spans="2:7" x14ac:dyDescent="0.35">
      <c r="B44" s="116"/>
      <c r="D44" s="116"/>
      <c r="E44" s="116"/>
      <c r="F44" s="116"/>
      <c r="G44" s="116"/>
    </row>
    <row r="45" spans="2:7" x14ac:dyDescent="0.35">
      <c r="B45" s="116"/>
      <c r="D45" s="116"/>
      <c r="E45" s="116"/>
      <c r="F45" s="116"/>
      <c r="G45" s="116"/>
    </row>
    <row r="46" spans="2:7" x14ac:dyDescent="0.35">
      <c r="B46" s="116"/>
      <c r="D46" s="116"/>
      <c r="E46" s="116"/>
      <c r="F46" s="116"/>
      <c r="G46" s="116"/>
    </row>
    <row r="47" spans="2:7" x14ac:dyDescent="0.35">
      <c r="B47" s="116"/>
      <c r="D47" s="116"/>
      <c r="E47" s="116"/>
      <c r="F47" s="116"/>
      <c r="G47" s="116"/>
    </row>
    <row r="48" spans="2:7" x14ac:dyDescent="0.35">
      <c r="B48" s="116"/>
      <c r="D48" s="116"/>
      <c r="E48" s="116"/>
      <c r="F48" s="116"/>
      <c r="G48" s="116"/>
    </row>
    <row r="49" spans="2:7" x14ac:dyDescent="0.35">
      <c r="B49" s="116"/>
      <c r="D49" s="116"/>
      <c r="E49" s="116"/>
      <c r="F49" s="116"/>
      <c r="G49" s="116"/>
    </row>
    <row r="50" spans="2:7" x14ac:dyDescent="0.35">
      <c r="B50" s="116"/>
      <c r="D50" s="116"/>
      <c r="E50" s="116"/>
      <c r="F50" s="116"/>
      <c r="G50" s="116"/>
    </row>
    <row r="51" spans="2:7" x14ac:dyDescent="0.35">
      <c r="B51" s="116"/>
      <c r="D51" s="116"/>
      <c r="E51" s="116"/>
      <c r="F51" s="116"/>
      <c r="G51" s="116"/>
    </row>
    <row r="52" spans="2:7" x14ac:dyDescent="0.35">
      <c r="B52" s="116"/>
      <c r="D52" s="116"/>
      <c r="E52" s="116"/>
      <c r="F52" s="116"/>
      <c r="G52" s="116"/>
    </row>
    <row r="53" spans="2:7" x14ac:dyDescent="0.35">
      <c r="B53" s="116"/>
      <c r="D53" s="116"/>
      <c r="E53" s="116"/>
      <c r="F53" s="116"/>
      <c r="G53" s="116"/>
    </row>
    <row r="54" spans="2:7" x14ac:dyDescent="0.35">
      <c r="B54" s="116"/>
      <c r="D54" s="116"/>
      <c r="E54" s="116"/>
      <c r="F54" s="116"/>
      <c r="G54" s="116"/>
    </row>
    <row r="55" spans="2:7" x14ac:dyDescent="0.35">
      <c r="B55" s="116"/>
      <c r="D55" s="116"/>
      <c r="E55" s="116"/>
      <c r="F55" s="116"/>
      <c r="G55" s="116"/>
    </row>
    <row r="56" spans="2:7" x14ac:dyDescent="0.35">
      <c r="B56" s="116"/>
      <c r="D56" s="116"/>
      <c r="E56" s="116"/>
      <c r="F56" s="116"/>
      <c r="G56" s="116"/>
    </row>
    <row r="57" spans="2:7" x14ac:dyDescent="0.35">
      <c r="B57" s="116"/>
      <c r="D57" s="116"/>
      <c r="E57" s="116"/>
      <c r="F57" s="116"/>
      <c r="G57" s="116"/>
    </row>
    <row r="58" spans="2:7" x14ac:dyDescent="0.35">
      <c r="B58" s="116"/>
      <c r="D58" s="116"/>
      <c r="E58" s="116"/>
      <c r="F58" s="116"/>
      <c r="G58" s="116"/>
    </row>
    <row r="59" spans="2:7" x14ac:dyDescent="0.35">
      <c r="B59" s="116"/>
      <c r="D59" s="116"/>
      <c r="E59" s="116"/>
      <c r="F59" s="116"/>
      <c r="G59" s="116"/>
    </row>
    <row r="60" spans="2:7" x14ac:dyDescent="0.35">
      <c r="B60" s="116"/>
      <c r="D60" s="116"/>
      <c r="E60" s="116"/>
      <c r="F60" s="116"/>
      <c r="G60" s="116"/>
    </row>
    <row r="61" spans="2:7" x14ac:dyDescent="0.35">
      <c r="B61" s="116"/>
      <c r="D61" s="116"/>
      <c r="E61" s="116"/>
      <c r="F61" s="116"/>
      <c r="G61" s="116"/>
    </row>
    <row r="62" spans="2:7" x14ac:dyDescent="0.35">
      <c r="B62" s="116"/>
      <c r="D62" s="116"/>
      <c r="E62" s="116"/>
      <c r="F62" s="116"/>
      <c r="G62" s="116"/>
    </row>
    <row r="63" spans="2:7" x14ac:dyDescent="0.35">
      <c r="B63" s="116"/>
      <c r="D63" s="116"/>
      <c r="E63" s="116"/>
      <c r="F63" s="116"/>
      <c r="G63" s="116"/>
    </row>
    <row r="64" spans="2:7" x14ac:dyDescent="0.35">
      <c r="B64" s="116"/>
      <c r="D64" s="116"/>
      <c r="E64" s="116"/>
      <c r="F64" s="116"/>
      <c r="G64" s="116"/>
    </row>
    <row r="65" spans="2:7" x14ac:dyDescent="0.35">
      <c r="B65" s="116"/>
      <c r="D65" s="116"/>
      <c r="E65" s="116"/>
      <c r="F65" s="116"/>
      <c r="G65" s="116"/>
    </row>
    <row r="66" spans="2:7" x14ac:dyDescent="0.35">
      <c r="B66" s="116"/>
      <c r="D66" s="116"/>
      <c r="E66" s="116"/>
      <c r="F66" s="116"/>
      <c r="G66" s="116"/>
    </row>
    <row r="67" spans="2:7" x14ac:dyDescent="0.35">
      <c r="B67" s="116"/>
      <c r="D67" s="116"/>
      <c r="E67" s="116"/>
      <c r="F67" s="116"/>
      <c r="G67" s="116"/>
    </row>
    <row r="68" spans="2:7" x14ac:dyDescent="0.35">
      <c r="B68" s="116"/>
      <c r="D68" s="116"/>
      <c r="E68" s="116"/>
      <c r="F68" s="116"/>
      <c r="G68" s="116"/>
    </row>
    <row r="69" spans="2:7" x14ac:dyDescent="0.35">
      <c r="B69" s="116"/>
      <c r="D69" s="116"/>
      <c r="E69" s="116"/>
      <c r="F69" s="116"/>
      <c r="G69" s="116"/>
    </row>
    <row r="70" spans="2:7" x14ac:dyDescent="0.35">
      <c r="B70" s="116"/>
      <c r="D70" s="116"/>
      <c r="E70" s="116"/>
      <c r="F70" s="116"/>
      <c r="G70" s="116"/>
    </row>
    <row r="71" spans="2:7" x14ac:dyDescent="0.35">
      <c r="B71" s="116"/>
      <c r="D71" s="116"/>
      <c r="E71" s="116"/>
      <c r="F71" s="116"/>
      <c r="G71" s="116"/>
    </row>
    <row r="72" spans="2:7" x14ac:dyDescent="0.35">
      <c r="B72" s="116"/>
      <c r="D72" s="116"/>
      <c r="E72" s="116"/>
      <c r="F72" s="116"/>
      <c r="G72" s="116"/>
    </row>
    <row r="73" spans="2:7" x14ac:dyDescent="0.35">
      <c r="B73" s="116"/>
      <c r="D73" s="116"/>
      <c r="E73" s="116"/>
      <c r="F73" s="116"/>
      <c r="G73" s="116"/>
    </row>
    <row r="74" spans="2:7" x14ac:dyDescent="0.35">
      <c r="B74" s="116"/>
      <c r="D74" s="116"/>
      <c r="E74" s="116"/>
      <c r="F74" s="116"/>
      <c r="G74" s="116"/>
    </row>
    <row r="75" spans="2:7" x14ac:dyDescent="0.35">
      <c r="B75" s="116"/>
      <c r="D75" s="116"/>
      <c r="E75" s="116"/>
      <c r="F75" s="116"/>
      <c r="G75" s="116"/>
    </row>
    <row r="76" spans="2:7" x14ac:dyDescent="0.35">
      <c r="B76" s="116"/>
      <c r="D76" s="116"/>
      <c r="E76" s="116"/>
      <c r="F76" s="116"/>
      <c r="G76" s="116"/>
    </row>
    <row r="77" spans="2:7" x14ac:dyDescent="0.35">
      <c r="B77" s="116"/>
      <c r="D77" s="116"/>
      <c r="E77" s="116"/>
      <c r="F77" s="116"/>
      <c r="G77" s="116"/>
    </row>
    <row r="78" spans="2:7" x14ac:dyDescent="0.35">
      <c r="B78" s="116"/>
      <c r="D78" s="116"/>
      <c r="E78" s="116"/>
      <c r="F78" s="116"/>
      <c r="G78" s="116"/>
    </row>
    <row r="79" spans="2:7" x14ac:dyDescent="0.35">
      <c r="B79" s="116"/>
      <c r="D79" s="116"/>
      <c r="E79" s="116"/>
      <c r="F79" s="116"/>
      <c r="G79" s="116"/>
    </row>
    <row r="80" spans="2:7" x14ac:dyDescent="0.35">
      <c r="B80" s="116"/>
      <c r="D80" s="116"/>
      <c r="E80" s="116"/>
      <c r="F80" s="116"/>
      <c r="G80" s="116"/>
    </row>
    <row r="81" spans="2:7" x14ac:dyDescent="0.35">
      <c r="B81" s="116"/>
      <c r="D81" s="116"/>
      <c r="E81" s="116"/>
      <c r="F81" s="116"/>
      <c r="G81" s="116"/>
    </row>
    <row r="82" spans="2:7" x14ac:dyDescent="0.35">
      <c r="B82" s="116"/>
      <c r="D82" s="116"/>
      <c r="E82" s="116"/>
      <c r="F82" s="116"/>
      <c r="G82" s="116"/>
    </row>
    <row r="83" spans="2:7" x14ac:dyDescent="0.35">
      <c r="B83" s="116"/>
      <c r="D83" s="116"/>
      <c r="E83" s="116"/>
      <c r="F83" s="116"/>
      <c r="G83" s="116"/>
    </row>
    <row r="84" spans="2:7" x14ac:dyDescent="0.35">
      <c r="B84" s="116"/>
      <c r="D84" s="116"/>
      <c r="E84" s="116"/>
      <c r="F84" s="116"/>
      <c r="G84" s="116"/>
    </row>
    <row r="85" spans="2:7" x14ac:dyDescent="0.35">
      <c r="B85" s="116"/>
      <c r="D85" s="116"/>
      <c r="E85" s="116"/>
      <c r="F85" s="116"/>
      <c r="G85" s="116"/>
    </row>
    <row r="86" spans="2:7" x14ac:dyDescent="0.35">
      <c r="B86" s="116"/>
      <c r="D86" s="116"/>
      <c r="E86" s="116"/>
      <c r="F86" s="116"/>
      <c r="G86" s="116"/>
    </row>
    <row r="87" spans="2:7" x14ac:dyDescent="0.35">
      <c r="B87" s="116"/>
      <c r="D87" s="116"/>
      <c r="E87" s="116"/>
      <c r="F87" s="116"/>
      <c r="G87" s="116"/>
    </row>
    <row r="88" spans="2:7" x14ac:dyDescent="0.35">
      <c r="B88" s="116"/>
      <c r="D88" s="116"/>
      <c r="E88" s="116"/>
      <c r="F88" s="116"/>
      <c r="G88" s="116"/>
    </row>
    <row r="89" spans="2:7" x14ac:dyDescent="0.35">
      <c r="B89" s="116"/>
      <c r="D89" s="116"/>
      <c r="E89" s="116"/>
      <c r="F89" s="116"/>
      <c r="G89" s="116"/>
    </row>
    <row r="90" spans="2:7" x14ac:dyDescent="0.35">
      <c r="B90" s="116"/>
      <c r="D90" s="116"/>
      <c r="E90" s="116"/>
      <c r="F90" s="116"/>
      <c r="G90" s="116"/>
    </row>
    <row r="91" spans="2:7" x14ac:dyDescent="0.35">
      <c r="B91" s="116"/>
      <c r="D91" s="116"/>
      <c r="E91" s="116"/>
      <c r="F91" s="116"/>
      <c r="G91" s="116"/>
    </row>
    <row r="92" spans="2:7" x14ac:dyDescent="0.35">
      <c r="B92" s="116"/>
      <c r="D92" s="116"/>
      <c r="E92" s="116"/>
      <c r="F92" s="116"/>
      <c r="G92" s="116"/>
    </row>
    <row r="93" spans="2:7" x14ac:dyDescent="0.35">
      <c r="B93" s="116"/>
      <c r="D93" s="118"/>
      <c r="E93" s="118"/>
      <c r="F93" s="118"/>
      <c r="G93" s="118"/>
    </row>
    <row r="94" spans="2:7" x14ac:dyDescent="0.35">
      <c r="B94" s="116"/>
      <c r="D94" s="118"/>
      <c r="E94" s="118"/>
      <c r="F94" s="118"/>
      <c r="G94" s="118"/>
    </row>
    <row r="95" spans="2:7" x14ac:dyDescent="0.35">
      <c r="B95" s="116"/>
      <c r="D95" s="118"/>
      <c r="E95" s="118"/>
      <c r="F95" s="118"/>
      <c r="G95" s="118"/>
    </row>
    <row r="96" spans="2:7" x14ac:dyDescent="0.35">
      <c r="B96" s="116"/>
      <c r="D96" s="119"/>
      <c r="E96" s="119"/>
      <c r="F96" s="119"/>
      <c r="G96" s="119"/>
    </row>
    <row r="97" spans="2:7" x14ac:dyDescent="0.35">
      <c r="B97" s="116"/>
      <c r="D97" s="120"/>
      <c r="E97" s="120"/>
      <c r="F97" s="120"/>
      <c r="G97" s="120"/>
    </row>
    <row r="98" spans="2:7" x14ac:dyDescent="0.35">
      <c r="B98" s="116"/>
      <c r="D98" s="118"/>
      <c r="E98" s="118"/>
      <c r="F98" s="118"/>
      <c r="G98" s="118"/>
    </row>
    <row r="99" spans="2:7" x14ac:dyDescent="0.35">
      <c r="B99" s="116"/>
      <c r="D99" s="118"/>
      <c r="E99" s="118"/>
      <c r="F99" s="118"/>
      <c r="G99" s="118"/>
    </row>
    <row r="100" spans="2:7" x14ac:dyDescent="0.35">
      <c r="B100" s="116"/>
      <c r="D100" s="118"/>
      <c r="E100" s="118"/>
      <c r="F100" s="118"/>
      <c r="G100" s="118"/>
    </row>
    <row r="101" spans="2:7" x14ac:dyDescent="0.35">
      <c r="B101" s="116"/>
      <c r="D101" s="116"/>
      <c r="E101" s="116"/>
      <c r="F101" s="116"/>
      <c r="G101" s="116"/>
    </row>
    <row r="102" spans="2:7" x14ac:dyDescent="0.35">
      <c r="B102" s="116"/>
      <c r="D102" s="116"/>
      <c r="E102" s="116"/>
      <c r="F102" s="116"/>
      <c r="G102" s="116"/>
    </row>
    <row r="103" spans="2:7" x14ac:dyDescent="0.35">
      <c r="B103" s="116"/>
      <c r="D103" s="116"/>
      <c r="E103" s="116"/>
      <c r="F103" s="116"/>
      <c r="G103" s="116"/>
    </row>
    <row r="104" spans="2:7" x14ac:dyDescent="0.35">
      <c r="B104" s="116"/>
      <c r="D104" s="116"/>
      <c r="E104" s="116"/>
      <c r="F104" s="116"/>
      <c r="G104" s="116"/>
    </row>
    <row r="105" spans="2:7" x14ac:dyDescent="0.35">
      <c r="B105" s="116"/>
      <c r="D105" s="116"/>
      <c r="E105" s="116"/>
      <c r="F105" s="116"/>
      <c r="G105" s="116"/>
    </row>
    <row r="106" spans="2:7" x14ac:dyDescent="0.35">
      <c r="B106" s="116"/>
      <c r="D106" s="116"/>
      <c r="E106" s="116"/>
      <c r="F106" s="116"/>
      <c r="G106" s="116"/>
    </row>
    <row r="107" spans="2:7" x14ac:dyDescent="0.35">
      <c r="B107" s="116"/>
      <c r="D107" s="116"/>
      <c r="E107" s="116"/>
      <c r="F107" s="116"/>
      <c r="G107" s="116"/>
    </row>
    <row r="108" spans="2:7" x14ac:dyDescent="0.35">
      <c r="B108" s="116"/>
      <c r="D108" s="116"/>
      <c r="E108" s="116"/>
      <c r="F108" s="116"/>
      <c r="G108" s="116"/>
    </row>
    <row r="109" spans="2:7" x14ac:dyDescent="0.35">
      <c r="B109" s="116"/>
      <c r="D109" s="116"/>
      <c r="E109" s="116"/>
      <c r="F109" s="116"/>
      <c r="G109" s="116"/>
    </row>
    <row r="110" spans="2:7" x14ac:dyDescent="0.35">
      <c r="B110" s="116"/>
      <c r="D110" s="116"/>
      <c r="E110" s="116"/>
      <c r="F110" s="116"/>
      <c r="G110" s="116"/>
    </row>
    <row r="111" spans="2:7" x14ac:dyDescent="0.35">
      <c r="B111" s="116"/>
      <c r="D111" s="116"/>
      <c r="E111" s="116"/>
      <c r="F111" s="116"/>
      <c r="G111" s="116"/>
    </row>
    <row r="112" spans="2:7" x14ac:dyDescent="0.35">
      <c r="B112" s="116"/>
      <c r="D112" s="116"/>
      <c r="E112" s="116"/>
      <c r="F112" s="116"/>
      <c r="G112" s="116"/>
    </row>
    <row r="113" spans="2:7" x14ac:dyDescent="0.35">
      <c r="B113" s="116"/>
      <c r="D113" s="116"/>
      <c r="E113" s="116"/>
      <c r="F113" s="116"/>
      <c r="G113" s="116"/>
    </row>
    <row r="114" spans="2:7" x14ac:dyDescent="0.35">
      <c r="B114" s="116"/>
      <c r="D114" s="116"/>
      <c r="E114" s="116"/>
      <c r="F114" s="116"/>
      <c r="G114" s="116"/>
    </row>
    <row r="115" spans="2:7" x14ac:dyDescent="0.35">
      <c r="B115" s="116"/>
      <c r="D115" s="116"/>
      <c r="E115" s="116"/>
      <c r="F115" s="116"/>
      <c r="G115" s="116"/>
    </row>
    <row r="116" spans="2:7" x14ac:dyDescent="0.35">
      <c r="B116" s="116"/>
      <c r="D116" s="116"/>
      <c r="E116" s="116"/>
      <c r="F116" s="116"/>
      <c r="G116" s="116"/>
    </row>
    <row r="117" spans="2:7" x14ac:dyDescent="0.35">
      <c r="B117" s="116"/>
      <c r="D117" s="116"/>
      <c r="E117" s="116"/>
      <c r="F117" s="116"/>
      <c r="G117" s="116"/>
    </row>
    <row r="118" spans="2:7" x14ac:dyDescent="0.35">
      <c r="B118" s="116"/>
      <c r="D118" s="116"/>
      <c r="E118" s="116"/>
      <c r="F118" s="116"/>
      <c r="G118" s="116"/>
    </row>
    <row r="119" spans="2:7" x14ac:dyDescent="0.35">
      <c r="B119" s="116"/>
      <c r="D119" s="116"/>
      <c r="E119" s="116"/>
      <c r="F119" s="116"/>
      <c r="G119" s="116"/>
    </row>
    <row r="120" spans="2:7" x14ac:dyDescent="0.35">
      <c r="B120" s="116"/>
      <c r="D120" s="116"/>
      <c r="E120" s="116"/>
      <c r="F120" s="116"/>
      <c r="G120" s="116"/>
    </row>
    <row r="121" spans="2:7" x14ac:dyDescent="0.35">
      <c r="B121" s="116"/>
      <c r="D121" s="116"/>
      <c r="E121" s="116"/>
      <c r="F121" s="116"/>
      <c r="G121" s="116"/>
    </row>
    <row r="122" spans="2:7" x14ac:dyDescent="0.35">
      <c r="B122" s="116"/>
      <c r="D122" s="116"/>
      <c r="E122" s="116"/>
      <c r="F122" s="116"/>
      <c r="G122" s="116"/>
    </row>
    <row r="123" spans="2:7" x14ac:dyDescent="0.35">
      <c r="B123" s="116"/>
      <c r="D123" s="116"/>
      <c r="E123" s="116"/>
      <c r="F123" s="116"/>
      <c r="G123" s="116"/>
    </row>
    <row r="124" spans="2:7" x14ac:dyDescent="0.35">
      <c r="B124" s="116"/>
      <c r="D124" s="116"/>
      <c r="E124" s="116"/>
      <c r="F124" s="116"/>
      <c r="G124" s="116"/>
    </row>
    <row r="125" spans="2:7" x14ac:dyDescent="0.35">
      <c r="B125" s="116"/>
      <c r="D125" s="118"/>
      <c r="E125" s="118"/>
      <c r="F125" s="118"/>
      <c r="G125" s="118"/>
    </row>
    <row r="126" spans="2:7" x14ac:dyDescent="0.35">
      <c r="B126" s="116"/>
      <c r="D126" s="119"/>
      <c r="E126" s="119"/>
      <c r="F126" s="119"/>
      <c r="G126" s="119"/>
    </row>
    <row r="127" spans="2:7" x14ac:dyDescent="0.35">
      <c r="B127" s="116"/>
      <c r="D127" s="120"/>
      <c r="E127" s="120"/>
      <c r="F127" s="120"/>
      <c r="G127" s="120"/>
    </row>
    <row r="128" spans="2:7" x14ac:dyDescent="0.35">
      <c r="B128" s="116"/>
      <c r="D128" s="118"/>
      <c r="E128" s="118"/>
      <c r="F128" s="118"/>
      <c r="G128" s="118"/>
    </row>
    <row r="129" spans="2:7" x14ac:dyDescent="0.35">
      <c r="B129" s="116"/>
      <c r="D129" s="121"/>
      <c r="E129" s="121"/>
      <c r="F129" s="121"/>
      <c r="G129" s="121"/>
    </row>
    <row r="130" spans="2:7" x14ac:dyDescent="0.35">
      <c r="B130" s="116"/>
      <c r="D130" s="121"/>
      <c r="E130" s="121"/>
      <c r="F130" s="121"/>
      <c r="G130" s="121"/>
    </row>
    <row r="131" spans="2:7" x14ac:dyDescent="0.35">
      <c r="B131" s="116"/>
      <c r="D131" s="121"/>
      <c r="E131" s="121"/>
      <c r="F131" s="121"/>
      <c r="G131" s="121"/>
    </row>
    <row r="132" spans="2:7" x14ac:dyDescent="0.35">
      <c r="B132" s="116"/>
      <c r="D132" s="121"/>
      <c r="E132" s="121"/>
      <c r="F132" s="121"/>
      <c r="G132" s="121"/>
    </row>
    <row r="133" spans="2:7" x14ac:dyDescent="0.35">
      <c r="B133" s="116"/>
      <c r="D133" s="118"/>
      <c r="E133" s="118"/>
      <c r="F133" s="118"/>
      <c r="G133" s="118"/>
    </row>
    <row r="134" spans="2:7" x14ac:dyDescent="0.35">
      <c r="B134" s="116"/>
      <c r="D134" s="116"/>
      <c r="E134" s="116"/>
      <c r="F134" s="116"/>
      <c r="G134" s="116"/>
    </row>
    <row r="135" spans="2:7" x14ac:dyDescent="0.35">
      <c r="B135" s="116"/>
      <c r="D135" s="116"/>
      <c r="E135" s="116"/>
      <c r="F135" s="116"/>
      <c r="G135" s="116"/>
    </row>
    <row r="136" spans="2:7" x14ac:dyDescent="0.35">
      <c r="B136" s="116"/>
      <c r="D136" s="116"/>
      <c r="E136" s="116"/>
      <c r="F136" s="116"/>
      <c r="G136" s="116"/>
    </row>
    <row r="137" spans="2:7" x14ac:dyDescent="0.35">
      <c r="B137" s="116"/>
      <c r="D137" s="116"/>
      <c r="E137" s="116"/>
      <c r="F137" s="116"/>
      <c r="G137" s="116"/>
    </row>
    <row r="138" spans="2:7" x14ac:dyDescent="0.35">
      <c r="B138" s="116"/>
      <c r="D138" s="116"/>
      <c r="E138" s="116"/>
      <c r="F138" s="116"/>
      <c r="G138" s="116"/>
    </row>
    <row r="139" spans="2:7" x14ac:dyDescent="0.35">
      <c r="B139" s="116"/>
      <c r="D139" s="116"/>
      <c r="E139" s="116"/>
      <c r="F139" s="116"/>
      <c r="G139" s="116"/>
    </row>
    <row r="140" spans="2:7" x14ac:dyDescent="0.35">
      <c r="B140" s="116"/>
      <c r="D140" s="116"/>
      <c r="E140" s="116"/>
      <c r="F140" s="116"/>
      <c r="G140" s="116"/>
    </row>
    <row r="141" spans="2:7" x14ac:dyDescent="0.35">
      <c r="B141" s="116"/>
      <c r="D141" s="116"/>
      <c r="E141" s="116"/>
      <c r="F141" s="116"/>
      <c r="G141" s="116"/>
    </row>
    <row r="142" spans="2:7" x14ac:dyDescent="0.35">
      <c r="B142" s="116"/>
      <c r="D142" s="116"/>
      <c r="E142" s="116"/>
      <c r="F142" s="116"/>
      <c r="G142" s="116"/>
    </row>
    <row r="143" spans="2:7" x14ac:dyDescent="0.35">
      <c r="B143" s="116"/>
      <c r="D143" s="116"/>
      <c r="E143" s="116"/>
      <c r="F143" s="116"/>
      <c r="G143" s="116"/>
    </row>
    <row r="144" spans="2:7" x14ac:dyDescent="0.35">
      <c r="B144" s="116"/>
      <c r="D144" s="116"/>
      <c r="E144" s="116"/>
      <c r="F144" s="116"/>
      <c r="G144" s="116"/>
    </row>
    <row r="145" spans="2:7" x14ac:dyDescent="0.35">
      <c r="B145" s="116"/>
      <c r="D145" s="116"/>
      <c r="E145" s="116"/>
      <c r="F145" s="116"/>
      <c r="G145" s="116"/>
    </row>
    <row r="146" spans="2:7" x14ac:dyDescent="0.35">
      <c r="B146" s="116"/>
      <c r="D146" s="116"/>
      <c r="E146" s="116"/>
      <c r="F146" s="116"/>
      <c r="G146" s="116"/>
    </row>
    <row r="147" spans="2:7" x14ac:dyDescent="0.35">
      <c r="B147" s="116"/>
      <c r="D147" s="116"/>
      <c r="E147" s="116"/>
      <c r="F147" s="116"/>
      <c r="G147" s="116"/>
    </row>
    <row r="148" spans="2:7" x14ac:dyDescent="0.35">
      <c r="B148" s="116"/>
      <c r="D148" s="116"/>
      <c r="E148" s="116"/>
      <c r="F148" s="116"/>
      <c r="G148" s="116"/>
    </row>
    <row r="149" spans="2:7" x14ac:dyDescent="0.35">
      <c r="B149" s="116"/>
      <c r="D149" s="116"/>
      <c r="E149" s="116"/>
      <c r="F149" s="116"/>
      <c r="G149" s="116"/>
    </row>
    <row r="150" spans="2:7" x14ac:dyDescent="0.35">
      <c r="B150" s="116"/>
      <c r="D150" s="116"/>
      <c r="E150" s="116"/>
      <c r="F150" s="116"/>
      <c r="G150" s="116"/>
    </row>
    <row r="151" spans="2:7" x14ac:dyDescent="0.35">
      <c r="B151" s="116"/>
      <c r="D151" s="116"/>
      <c r="E151" s="116"/>
      <c r="F151" s="116"/>
      <c r="G151" s="116"/>
    </row>
    <row r="152" spans="2:7" x14ac:dyDescent="0.35">
      <c r="B152" s="116"/>
      <c r="D152" s="116"/>
      <c r="E152" s="116"/>
      <c r="F152" s="116"/>
      <c r="G152" s="116"/>
    </row>
    <row r="153" spans="2:7" x14ac:dyDescent="0.35">
      <c r="B153" s="116"/>
      <c r="D153" s="116"/>
      <c r="E153" s="116"/>
      <c r="F153" s="116"/>
      <c r="G153" s="116"/>
    </row>
    <row r="154" spans="2:7" x14ac:dyDescent="0.35">
      <c r="B154" s="116"/>
      <c r="D154" s="116"/>
      <c r="E154" s="116"/>
      <c r="F154" s="116"/>
      <c r="G154" s="116"/>
    </row>
    <row r="155" spans="2:7" x14ac:dyDescent="0.35">
      <c r="B155" s="116"/>
      <c r="D155" s="116"/>
      <c r="E155" s="116"/>
      <c r="F155" s="116"/>
      <c r="G155" s="116"/>
    </row>
    <row r="156" spans="2:7" x14ac:dyDescent="0.35">
      <c r="B156" s="116"/>
      <c r="D156" s="118"/>
      <c r="E156" s="118"/>
      <c r="F156" s="118"/>
      <c r="G156" s="118"/>
    </row>
    <row r="157" spans="2:7" x14ac:dyDescent="0.35">
      <c r="B157" s="116"/>
      <c r="D157" s="121"/>
      <c r="E157" s="121"/>
      <c r="F157" s="121"/>
      <c r="G157" s="121"/>
    </row>
    <row r="158" spans="2:7" x14ac:dyDescent="0.35">
      <c r="B158" s="116"/>
      <c r="D158" s="121"/>
      <c r="E158" s="121"/>
      <c r="F158" s="121"/>
      <c r="G158" s="121"/>
    </row>
    <row r="159" spans="2:7" x14ac:dyDescent="0.35">
      <c r="B159" s="116"/>
      <c r="D159" s="121"/>
      <c r="E159" s="121"/>
      <c r="F159" s="121"/>
      <c r="G159" s="121"/>
    </row>
    <row r="160" spans="2:7" x14ac:dyDescent="0.35">
      <c r="B160" s="116"/>
      <c r="D160" s="118"/>
      <c r="E160" s="118"/>
      <c r="F160" s="118"/>
      <c r="G160" s="118"/>
    </row>
    <row r="161" spans="2:7" x14ac:dyDescent="0.35">
      <c r="B161" s="116"/>
      <c r="D161" s="119"/>
      <c r="E161" s="119"/>
      <c r="F161" s="119"/>
      <c r="G161" s="119"/>
    </row>
    <row r="162" spans="2:7" x14ac:dyDescent="0.35">
      <c r="B162" s="116"/>
      <c r="D162" s="119"/>
      <c r="E162" s="119"/>
      <c r="F162" s="119"/>
      <c r="G162" s="119"/>
    </row>
    <row r="163" spans="2:7" x14ac:dyDescent="0.35">
      <c r="B163" s="116"/>
      <c r="D163" s="118"/>
      <c r="E163" s="118"/>
      <c r="F163" s="118"/>
      <c r="G163" s="118"/>
    </row>
    <row r="164" spans="2:7" x14ac:dyDescent="0.35">
      <c r="B164" s="116"/>
      <c r="D164" s="118"/>
      <c r="E164" s="118"/>
      <c r="F164" s="118"/>
      <c r="G164" s="118"/>
    </row>
    <row r="165" spans="2:7" x14ac:dyDescent="0.35">
      <c r="B165" s="116"/>
      <c r="D165" s="118"/>
      <c r="E165" s="118"/>
      <c r="F165" s="118"/>
      <c r="G165" s="118"/>
    </row>
    <row r="166" spans="2:7" x14ac:dyDescent="0.35">
      <c r="B166" s="116"/>
      <c r="D166" s="118"/>
      <c r="E166" s="118"/>
      <c r="F166" s="118"/>
      <c r="G166" s="118"/>
    </row>
    <row r="167" spans="2:7" x14ac:dyDescent="0.35">
      <c r="B167" s="116"/>
      <c r="D167" s="118"/>
      <c r="E167" s="118"/>
      <c r="F167" s="118"/>
      <c r="G167" s="118"/>
    </row>
    <row r="168" spans="2:7" x14ac:dyDescent="0.35">
      <c r="B168" s="116"/>
      <c r="D168" s="118"/>
      <c r="E168" s="118"/>
      <c r="F168" s="118"/>
      <c r="G168" s="118"/>
    </row>
    <row r="169" spans="2:7" x14ac:dyDescent="0.35">
      <c r="B169" s="116"/>
      <c r="D169" s="119"/>
      <c r="E169" s="119"/>
      <c r="F169" s="119"/>
      <c r="G169" s="119"/>
    </row>
    <row r="170" spans="2:7" x14ac:dyDescent="0.35">
      <c r="B170" s="116"/>
      <c r="D170" s="119"/>
      <c r="E170" s="119"/>
      <c r="F170" s="119"/>
      <c r="G170" s="119"/>
    </row>
    <row r="171" spans="2:7" x14ac:dyDescent="0.35">
      <c r="B171" s="116"/>
      <c r="D171" s="118"/>
      <c r="E171" s="118"/>
      <c r="F171" s="118"/>
      <c r="G171" s="118"/>
    </row>
    <row r="172" spans="2:7" x14ac:dyDescent="0.35">
      <c r="B172" s="116"/>
      <c r="D172" s="121"/>
      <c r="E172" s="121"/>
      <c r="F172" s="121"/>
      <c r="G172" s="121"/>
    </row>
    <row r="173" spans="2:7" x14ac:dyDescent="0.35">
      <c r="B173" s="116"/>
      <c r="D173" s="121"/>
      <c r="E173" s="121"/>
      <c r="F173" s="121"/>
      <c r="G173" s="121"/>
    </row>
    <row r="174" spans="2:7" x14ac:dyDescent="0.35">
      <c r="B174" s="116"/>
      <c r="D174" s="121"/>
      <c r="E174" s="121"/>
      <c r="F174" s="121"/>
      <c r="G174" s="121"/>
    </row>
    <row r="175" spans="2:7" x14ac:dyDescent="0.35">
      <c r="B175" s="116"/>
      <c r="D175" s="122"/>
      <c r="E175" s="122"/>
      <c r="F175" s="122"/>
      <c r="G175" s="122"/>
    </row>
    <row r="176" spans="2:7" x14ac:dyDescent="0.35">
      <c r="B176" s="116"/>
      <c r="D176" s="118"/>
      <c r="E176" s="118"/>
      <c r="F176" s="118"/>
      <c r="G176" s="118"/>
    </row>
    <row r="177" spans="2:7" x14ac:dyDescent="0.35">
      <c r="B177" s="116"/>
      <c r="D177" s="121"/>
      <c r="E177" s="121"/>
      <c r="F177" s="121"/>
      <c r="G177" s="121"/>
    </row>
    <row r="178" spans="2:7" x14ac:dyDescent="0.35">
      <c r="B178" s="116"/>
      <c r="D178" s="121"/>
      <c r="E178" s="121"/>
      <c r="F178" s="121"/>
      <c r="G178" s="121"/>
    </row>
    <row r="179" spans="2:7" x14ac:dyDescent="0.35">
      <c r="B179" s="116"/>
      <c r="D179" s="121"/>
      <c r="E179" s="121"/>
      <c r="F179" s="121"/>
      <c r="G179" s="121"/>
    </row>
    <row r="180" spans="2:7" x14ac:dyDescent="0.35">
      <c r="B180" s="116"/>
      <c r="D180" s="118"/>
      <c r="E180" s="118"/>
      <c r="F180" s="118"/>
      <c r="G180" s="118"/>
    </row>
    <row r="181" spans="2:7" x14ac:dyDescent="0.35">
      <c r="B181" s="116"/>
      <c r="D181" s="121"/>
      <c r="E181" s="121"/>
      <c r="F181" s="121"/>
      <c r="G181" s="121"/>
    </row>
    <row r="182" spans="2:7" x14ac:dyDescent="0.35">
      <c r="B182" s="116"/>
      <c r="D182" s="121"/>
      <c r="E182" s="121"/>
      <c r="F182" s="121"/>
      <c r="G182" s="121"/>
    </row>
    <row r="183" spans="2:7" x14ac:dyDescent="0.35">
      <c r="B183" s="116"/>
      <c r="D183" s="121"/>
      <c r="E183" s="121"/>
      <c r="F183" s="121"/>
      <c r="G183" s="121"/>
    </row>
    <row r="184" spans="2:7" x14ac:dyDescent="0.35">
      <c r="B184" s="116"/>
      <c r="D184" s="121"/>
      <c r="E184" s="121"/>
      <c r="F184" s="121"/>
      <c r="G184" s="121"/>
    </row>
    <row r="185" spans="2:7" x14ac:dyDescent="0.35">
      <c r="B185" s="116"/>
      <c r="D185" s="121"/>
      <c r="E185" s="121"/>
      <c r="F185" s="121"/>
      <c r="G185" s="121"/>
    </row>
    <row r="186" spans="2:7" x14ac:dyDescent="0.35">
      <c r="B186" s="116"/>
      <c r="D186" s="121"/>
      <c r="E186" s="121"/>
      <c r="F186" s="121"/>
      <c r="G186" s="121"/>
    </row>
    <row r="187" spans="2:7" x14ac:dyDescent="0.35">
      <c r="B187" s="116"/>
      <c r="D187" s="121"/>
      <c r="E187" s="121"/>
      <c r="F187" s="121"/>
      <c r="G187" s="121"/>
    </row>
    <row r="188" spans="2:7" x14ac:dyDescent="0.35">
      <c r="B188" s="116"/>
      <c r="D188" s="121"/>
      <c r="E188" s="121"/>
      <c r="F188" s="121"/>
      <c r="G188" s="121"/>
    </row>
    <row r="189" spans="2:7" x14ac:dyDescent="0.35">
      <c r="B189" s="116"/>
      <c r="D189" s="118"/>
      <c r="E189" s="118"/>
      <c r="F189" s="118"/>
      <c r="G189" s="118"/>
    </row>
    <row r="190" spans="2:7" x14ac:dyDescent="0.35">
      <c r="B190" s="116"/>
      <c r="D190" s="118"/>
      <c r="E190" s="118"/>
      <c r="F190" s="118"/>
      <c r="G190" s="118"/>
    </row>
    <row r="191" spans="2:7" x14ac:dyDescent="0.35">
      <c r="B191" s="116"/>
      <c r="D191" s="119"/>
      <c r="E191" s="119"/>
      <c r="F191" s="119"/>
      <c r="G191" s="119"/>
    </row>
    <row r="192" spans="2:7" x14ac:dyDescent="0.35">
      <c r="B192" s="116"/>
      <c r="D192" s="119"/>
      <c r="E192" s="119"/>
      <c r="F192" s="119"/>
      <c r="G192" s="119"/>
    </row>
    <row r="193" spans="2:7" x14ac:dyDescent="0.35">
      <c r="B193" s="116"/>
      <c r="D193" s="118"/>
      <c r="E193" s="118"/>
      <c r="F193" s="118"/>
      <c r="G193" s="118"/>
    </row>
    <row r="194" spans="2:7" x14ac:dyDescent="0.35">
      <c r="B194" s="116"/>
      <c r="D194" s="121"/>
      <c r="E194" s="121"/>
      <c r="F194" s="121"/>
      <c r="G194" s="121"/>
    </row>
    <row r="195" spans="2:7" x14ac:dyDescent="0.35">
      <c r="B195" s="116"/>
      <c r="D195" s="121"/>
      <c r="E195" s="121"/>
      <c r="F195" s="121"/>
      <c r="G195" s="121"/>
    </row>
    <row r="196" spans="2:7" x14ac:dyDescent="0.35">
      <c r="B196" s="116"/>
      <c r="D196" s="121"/>
      <c r="E196" s="121"/>
      <c r="F196" s="121"/>
      <c r="G196" s="121"/>
    </row>
    <row r="197" spans="2:7" x14ac:dyDescent="0.35">
      <c r="B197" s="116"/>
      <c r="D197" s="121"/>
      <c r="E197" s="121"/>
      <c r="F197" s="121"/>
      <c r="G197" s="121"/>
    </row>
    <row r="198" spans="2:7" x14ac:dyDescent="0.35">
      <c r="B198" s="116"/>
      <c r="D198" s="118"/>
      <c r="E198" s="118"/>
      <c r="F198" s="118"/>
      <c r="G198" s="118"/>
    </row>
    <row r="199" spans="2:7" x14ac:dyDescent="0.35">
      <c r="B199" s="116"/>
      <c r="D199" s="119"/>
      <c r="E199" s="119"/>
      <c r="F199" s="119"/>
      <c r="G199" s="119"/>
    </row>
    <row r="200" spans="2:7" x14ac:dyDescent="0.35">
      <c r="B200" s="116"/>
      <c r="D200" s="119"/>
      <c r="E200" s="119"/>
      <c r="F200" s="119"/>
      <c r="G200" s="119"/>
    </row>
    <row r="201" spans="2:7" x14ac:dyDescent="0.35">
      <c r="B201" s="116"/>
      <c r="D201" s="118"/>
      <c r="E201" s="118"/>
      <c r="F201" s="118"/>
      <c r="G201" s="118"/>
    </row>
    <row r="202" spans="2:7" x14ac:dyDescent="0.35">
      <c r="B202" s="116"/>
      <c r="D202" s="121"/>
      <c r="E202" s="121"/>
      <c r="F202" s="121"/>
      <c r="G202" s="121"/>
    </row>
    <row r="203" spans="2:7" x14ac:dyDescent="0.35">
      <c r="B203" s="116"/>
      <c r="D203" s="121"/>
      <c r="E203" s="121"/>
      <c r="F203" s="121"/>
      <c r="G203" s="121"/>
    </row>
    <row r="204" spans="2:7" x14ac:dyDescent="0.35">
      <c r="B204" s="116"/>
      <c r="D204" s="121"/>
      <c r="E204" s="121"/>
      <c r="F204" s="121"/>
      <c r="G204" s="121"/>
    </row>
    <row r="205" spans="2:7" x14ac:dyDescent="0.35">
      <c r="B205" s="116"/>
      <c r="D205" s="118"/>
      <c r="E205" s="118"/>
      <c r="F205" s="118"/>
      <c r="G205" s="118"/>
    </row>
    <row r="206" spans="2:7" x14ac:dyDescent="0.35">
      <c r="B206" s="116"/>
      <c r="D206" s="118"/>
      <c r="E206" s="118"/>
      <c r="F206" s="118"/>
      <c r="G206" s="118"/>
    </row>
    <row r="207" spans="2:7" x14ac:dyDescent="0.35">
      <c r="B207" s="116"/>
      <c r="D207" s="118"/>
      <c r="E207" s="118"/>
      <c r="F207" s="118"/>
      <c r="G207" s="118"/>
    </row>
    <row r="208" spans="2:7" x14ac:dyDescent="0.35">
      <c r="B208" s="116"/>
      <c r="D208" s="119"/>
      <c r="E208" s="119"/>
      <c r="F208" s="119"/>
      <c r="G208" s="119"/>
    </row>
    <row r="209" spans="2:7" x14ac:dyDescent="0.35">
      <c r="B209" s="116"/>
      <c r="D209" s="119"/>
      <c r="E209" s="119"/>
      <c r="F209" s="119"/>
      <c r="G209" s="119"/>
    </row>
    <row r="210" spans="2:7" x14ac:dyDescent="0.35">
      <c r="B210" s="116"/>
      <c r="D210" s="116"/>
      <c r="E210" s="116"/>
      <c r="F210" s="116"/>
      <c r="G210" s="116"/>
    </row>
    <row r="211" spans="2:7" x14ac:dyDescent="0.35">
      <c r="B211" s="116"/>
      <c r="D211" s="116"/>
      <c r="E211" s="116"/>
      <c r="F211" s="116"/>
      <c r="G211" s="116"/>
    </row>
    <row r="212" spans="2:7" x14ac:dyDescent="0.35">
      <c r="B212" s="116"/>
      <c r="D212" s="116"/>
      <c r="E212" s="116"/>
      <c r="F212" s="116"/>
      <c r="G212" s="116"/>
    </row>
    <row r="213" spans="2:7" x14ac:dyDescent="0.35">
      <c r="B213" s="116"/>
      <c r="D213" s="116"/>
      <c r="E213" s="116"/>
      <c r="F213" s="116"/>
      <c r="G213" s="116"/>
    </row>
    <row r="214" spans="2:7" x14ac:dyDescent="0.35">
      <c r="B214" s="116"/>
      <c r="D214" s="116"/>
      <c r="E214" s="116"/>
      <c r="F214" s="116"/>
      <c r="G214" s="116"/>
    </row>
    <row r="215" spans="2:7" x14ac:dyDescent="0.35">
      <c r="B215" s="116"/>
      <c r="D215" s="116"/>
      <c r="E215" s="116"/>
      <c r="F215" s="116"/>
      <c r="G215" s="116"/>
    </row>
    <row r="216" spans="2:7" x14ac:dyDescent="0.35">
      <c r="B216" s="116"/>
      <c r="D216" s="116"/>
      <c r="E216" s="116"/>
      <c r="F216" s="116"/>
      <c r="G216" s="116"/>
    </row>
    <row r="217" spans="2:7" x14ac:dyDescent="0.35">
      <c r="B217" s="116"/>
      <c r="D217" s="116"/>
      <c r="E217" s="116"/>
      <c r="F217" s="116"/>
      <c r="G217" s="116"/>
    </row>
    <row r="218" spans="2:7" x14ac:dyDescent="0.35">
      <c r="B218" s="116"/>
      <c r="D218" s="116"/>
      <c r="E218" s="116"/>
      <c r="F218" s="116"/>
      <c r="G218" s="116"/>
    </row>
    <row r="219" spans="2:7" x14ac:dyDescent="0.35">
      <c r="B219" s="116"/>
      <c r="D219" s="116"/>
      <c r="E219" s="116"/>
      <c r="F219" s="116"/>
      <c r="G219" s="116"/>
    </row>
    <row r="220" spans="2:7" x14ac:dyDescent="0.35">
      <c r="B220" s="116"/>
      <c r="D220" s="116"/>
      <c r="E220" s="116"/>
      <c r="F220" s="116"/>
      <c r="G220" s="116"/>
    </row>
    <row r="221" spans="2:7" x14ac:dyDescent="0.35">
      <c r="B221" s="116"/>
      <c r="D221" s="116"/>
      <c r="E221" s="116"/>
      <c r="F221" s="116"/>
      <c r="G221" s="116"/>
    </row>
    <row r="222" spans="2:7" x14ac:dyDescent="0.35">
      <c r="B222" s="116"/>
      <c r="D222" s="116"/>
      <c r="E222" s="116"/>
      <c r="F222" s="116"/>
      <c r="G222" s="116"/>
    </row>
    <row r="223" spans="2:7" x14ac:dyDescent="0.35">
      <c r="B223" s="116"/>
      <c r="D223" s="116"/>
      <c r="E223" s="116"/>
      <c r="F223" s="116"/>
      <c r="G223" s="116"/>
    </row>
    <row r="224" spans="2:7" x14ac:dyDescent="0.35">
      <c r="B224" s="116"/>
      <c r="D224" s="116"/>
      <c r="E224" s="116"/>
      <c r="F224" s="116"/>
      <c r="G224" s="116"/>
    </row>
    <row r="225" spans="2:7" x14ac:dyDescent="0.35">
      <c r="B225" s="116"/>
      <c r="D225" s="116"/>
      <c r="E225" s="116"/>
      <c r="F225" s="116"/>
      <c r="G225" s="116"/>
    </row>
    <row r="226" spans="2:7" x14ac:dyDescent="0.35">
      <c r="B226" s="116"/>
      <c r="D226" s="116"/>
      <c r="E226" s="116"/>
      <c r="F226" s="116"/>
      <c r="G226" s="116"/>
    </row>
    <row r="227" spans="2:7" x14ac:dyDescent="0.35">
      <c r="B227" s="116"/>
      <c r="D227" s="116"/>
      <c r="E227" s="116"/>
      <c r="F227" s="116"/>
      <c r="G227" s="116"/>
    </row>
    <row r="228" spans="2:7" x14ac:dyDescent="0.35">
      <c r="B228" s="116"/>
      <c r="D228" s="116"/>
      <c r="E228" s="116"/>
      <c r="F228" s="116"/>
      <c r="G228" s="116"/>
    </row>
    <row r="229" spans="2:7" x14ac:dyDescent="0.35">
      <c r="B229" s="116"/>
      <c r="D229" s="116"/>
      <c r="E229" s="116"/>
      <c r="F229" s="116"/>
      <c r="G229" s="116"/>
    </row>
    <row r="230" spans="2:7" x14ac:dyDescent="0.35">
      <c r="B230" s="116"/>
      <c r="D230" s="116"/>
      <c r="E230" s="116"/>
      <c r="F230" s="116"/>
      <c r="G230" s="116"/>
    </row>
    <row r="231" spans="2:7" x14ac:dyDescent="0.35">
      <c r="B231" s="116"/>
      <c r="D231" s="116"/>
      <c r="E231" s="116"/>
      <c r="F231" s="116"/>
      <c r="G231" s="116"/>
    </row>
    <row r="232" spans="2:7" x14ac:dyDescent="0.35">
      <c r="B232" s="116"/>
      <c r="D232" s="116"/>
      <c r="E232" s="116"/>
      <c r="F232" s="116"/>
      <c r="G232" s="116"/>
    </row>
    <row r="233" spans="2:7" x14ac:dyDescent="0.35">
      <c r="B233" s="116"/>
      <c r="D233" s="116"/>
      <c r="E233" s="116"/>
      <c r="F233" s="116"/>
      <c r="G233" s="116"/>
    </row>
    <row r="234" spans="2:7" x14ac:dyDescent="0.35">
      <c r="B234" s="116"/>
      <c r="D234" s="116"/>
      <c r="E234" s="116"/>
      <c r="F234" s="116"/>
      <c r="G234" s="116"/>
    </row>
    <row r="235" spans="2:7" x14ac:dyDescent="0.35">
      <c r="B235" s="116"/>
      <c r="D235" s="116"/>
      <c r="E235" s="116"/>
      <c r="F235" s="116"/>
      <c r="G235" s="116"/>
    </row>
    <row r="236" spans="2:7" x14ac:dyDescent="0.35">
      <c r="B236" s="116"/>
      <c r="D236" s="116"/>
      <c r="E236" s="116"/>
      <c r="F236" s="116"/>
      <c r="G236" s="116"/>
    </row>
    <row r="237" spans="2:7" x14ac:dyDescent="0.35">
      <c r="B237" s="116"/>
      <c r="D237" s="116"/>
      <c r="E237" s="116"/>
      <c r="F237" s="116"/>
      <c r="G237" s="116"/>
    </row>
    <row r="238" spans="2:7" x14ac:dyDescent="0.35">
      <c r="B238" s="116"/>
      <c r="D238" s="116"/>
      <c r="E238" s="116"/>
      <c r="F238" s="116"/>
      <c r="G238" s="116"/>
    </row>
    <row r="239" spans="2:7" x14ac:dyDescent="0.35">
      <c r="B239" s="116"/>
      <c r="D239" s="116"/>
      <c r="E239" s="116"/>
      <c r="F239" s="116"/>
      <c r="G239" s="116"/>
    </row>
    <row r="240" spans="2:7" x14ac:dyDescent="0.35">
      <c r="B240" s="116"/>
      <c r="D240" s="116"/>
      <c r="E240" s="116"/>
      <c r="F240" s="116"/>
      <c r="G240" s="116"/>
    </row>
    <row r="241" spans="2:7" x14ac:dyDescent="0.35">
      <c r="B241" s="116"/>
      <c r="D241" s="116"/>
      <c r="E241" s="116"/>
      <c r="F241" s="116"/>
      <c r="G241" s="116"/>
    </row>
    <row r="242" spans="2:7" x14ac:dyDescent="0.35">
      <c r="B242" s="116"/>
      <c r="D242" s="116"/>
      <c r="E242" s="116"/>
      <c r="F242" s="116"/>
      <c r="G242" s="116"/>
    </row>
    <row r="243" spans="2:7" x14ac:dyDescent="0.35">
      <c r="B243" s="116"/>
      <c r="D243" s="116"/>
      <c r="E243" s="116"/>
      <c r="F243" s="116"/>
      <c r="G243" s="116"/>
    </row>
    <row r="244" spans="2:7" x14ac:dyDescent="0.35">
      <c r="B244" s="116"/>
      <c r="D244" s="116"/>
      <c r="E244" s="116"/>
      <c r="F244" s="116"/>
      <c r="G244" s="116"/>
    </row>
    <row r="245" spans="2:7" x14ac:dyDescent="0.35">
      <c r="B245" s="116"/>
      <c r="D245" s="116"/>
      <c r="E245" s="116"/>
      <c r="F245" s="116"/>
      <c r="G245" s="116"/>
    </row>
    <row r="246" spans="2:7" x14ac:dyDescent="0.35">
      <c r="B246" s="116"/>
      <c r="D246" s="116"/>
      <c r="E246" s="116"/>
      <c r="F246" s="116"/>
      <c r="G246" s="116"/>
    </row>
    <row r="247" spans="2:7" x14ac:dyDescent="0.35">
      <c r="B247" s="116"/>
      <c r="D247" s="116"/>
      <c r="E247" s="116"/>
      <c r="F247" s="116"/>
      <c r="G247" s="116"/>
    </row>
    <row r="248" spans="2:7" x14ac:dyDescent="0.35">
      <c r="B248" s="116"/>
      <c r="D248" s="116"/>
      <c r="E248" s="116"/>
      <c r="F248" s="116"/>
      <c r="G248" s="116"/>
    </row>
    <row r="249" spans="2:7" x14ac:dyDescent="0.35">
      <c r="B249" s="116"/>
      <c r="D249" s="116"/>
      <c r="E249" s="116"/>
      <c r="F249" s="116"/>
      <c r="G249" s="116"/>
    </row>
    <row r="250" spans="2:7" x14ac:dyDescent="0.35">
      <c r="B250" s="116"/>
      <c r="D250" s="116"/>
      <c r="E250" s="116"/>
      <c r="F250" s="116"/>
      <c r="G250" s="116"/>
    </row>
    <row r="251" spans="2:7" x14ac:dyDescent="0.35">
      <c r="B251" s="116"/>
      <c r="D251" s="116"/>
      <c r="E251" s="116"/>
      <c r="F251" s="116"/>
      <c r="G251" s="116"/>
    </row>
    <row r="252" spans="2:7" x14ac:dyDescent="0.35">
      <c r="B252" s="116"/>
      <c r="D252" s="116"/>
      <c r="E252" s="116"/>
      <c r="F252" s="116"/>
      <c r="G252" s="116"/>
    </row>
    <row r="253" spans="2:7" x14ac:dyDescent="0.35">
      <c r="B253" s="116"/>
      <c r="D253" s="116"/>
      <c r="E253" s="116"/>
      <c r="F253" s="116"/>
      <c r="G253" s="116"/>
    </row>
    <row r="254" spans="2:7" x14ac:dyDescent="0.35">
      <c r="B254" s="116"/>
      <c r="D254" s="116"/>
      <c r="E254" s="116"/>
      <c r="F254" s="116"/>
      <c r="G254" s="116"/>
    </row>
    <row r="255" spans="2:7" x14ac:dyDescent="0.35">
      <c r="B255" s="116"/>
      <c r="D255" s="116"/>
      <c r="E255" s="116"/>
      <c r="F255" s="116"/>
      <c r="G255" s="116"/>
    </row>
    <row r="256" spans="2:7" x14ac:dyDescent="0.35">
      <c r="B256" s="116"/>
      <c r="D256" s="116"/>
      <c r="E256" s="116"/>
      <c r="F256" s="116"/>
      <c r="G256" s="116"/>
    </row>
    <row r="257" spans="2:7" x14ac:dyDescent="0.35">
      <c r="B257" s="116"/>
      <c r="D257" s="116"/>
      <c r="E257" s="116"/>
      <c r="F257" s="116"/>
      <c r="G257" s="116"/>
    </row>
    <row r="258" spans="2:7" x14ac:dyDescent="0.35">
      <c r="B258" s="116"/>
      <c r="D258" s="116"/>
      <c r="E258" s="116"/>
      <c r="F258" s="116"/>
      <c r="G258" s="116"/>
    </row>
    <row r="259" spans="2:7" x14ac:dyDescent="0.35">
      <c r="B259" s="116"/>
      <c r="D259" s="116"/>
      <c r="E259" s="116"/>
      <c r="F259" s="116"/>
      <c r="G259" s="116"/>
    </row>
    <row r="260" spans="2:7" x14ac:dyDescent="0.35">
      <c r="B260" s="116"/>
      <c r="D260" s="116"/>
      <c r="E260" s="116"/>
      <c r="F260" s="116"/>
      <c r="G260" s="116"/>
    </row>
    <row r="261" spans="2:7" x14ac:dyDescent="0.35">
      <c r="B261" s="116"/>
      <c r="D261" s="116"/>
      <c r="E261" s="116"/>
      <c r="F261" s="116"/>
      <c r="G261" s="116"/>
    </row>
    <row r="262" spans="2:7" x14ac:dyDescent="0.35">
      <c r="B262" s="116"/>
      <c r="D262" s="116"/>
      <c r="E262" s="116"/>
      <c r="F262" s="116"/>
      <c r="G262" s="116"/>
    </row>
    <row r="263" spans="2:7" x14ac:dyDescent="0.35">
      <c r="B263" s="116"/>
      <c r="D263" s="116"/>
      <c r="E263" s="116"/>
      <c r="F263" s="116"/>
      <c r="G263" s="116"/>
    </row>
    <row r="264" spans="2:7" x14ac:dyDescent="0.35">
      <c r="B264" s="116"/>
      <c r="D264" s="116"/>
      <c r="E264" s="116"/>
      <c r="F264" s="116"/>
      <c r="G264" s="116"/>
    </row>
    <row r="265" spans="2:7" x14ac:dyDescent="0.35">
      <c r="B265" s="116"/>
      <c r="D265" s="116"/>
      <c r="E265" s="116"/>
      <c r="F265" s="116"/>
      <c r="G265" s="116"/>
    </row>
    <row r="266" spans="2:7" x14ac:dyDescent="0.35">
      <c r="B266" s="116"/>
      <c r="D266" s="116"/>
      <c r="E266" s="116"/>
      <c r="F266" s="116"/>
      <c r="G266" s="116"/>
    </row>
    <row r="267" spans="2:7" x14ac:dyDescent="0.35">
      <c r="B267" s="116"/>
      <c r="D267" s="116"/>
      <c r="E267" s="116"/>
      <c r="F267" s="116"/>
      <c r="G267" s="116"/>
    </row>
    <row r="268" spans="2:7" x14ac:dyDescent="0.35">
      <c r="B268" s="116"/>
      <c r="D268" s="116"/>
      <c r="E268" s="116"/>
      <c r="F268" s="116"/>
      <c r="G268" s="116"/>
    </row>
    <row r="269" spans="2:7" x14ac:dyDescent="0.35">
      <c r="B269" s="116"/>
      <c r="D269" s="123"/>
      <c r="E269" s="123"/>
      <c r="F269" s="123"/>
      <c r="G269" s="123"/>
    </row>
    <row r="270" spans="2:7" x14ac:dyDescent="0.35">
      <c r="B270" s="116"/>
      <c r="D270" s="123"/>
      <c r="E270" s="123"/>
      <c r="F270" s="123"/>
      <c r="G270" s="123"/>
    </row>
    <row r="271" spans="2:7" x14ac:dyDescent="0.35">
      <c r="B271" s="116"/>
      <c r="D271" s="123"/>
      <c r="E271" s="123"/>
      <c r="F271" s="123"/>
      <c r="G271" s="123"/>
    </row>
    <row r="272" spans="2:7" x14ac:dyDescent="0.35">
      <c r="B272" s="116"/>
      <c r="D272" s="123"/>
      <c r="E272" s="123"/>
      <c r="F272" s="123"/>
      <c r="G272" s="123"/>
    </row>
    <row r="273" spans="2:7" x14ac:dyDescent="0.35">
      <c r="B273" s="116"/>
      <c r="D273" s="123"/>
      <c r="E273" s="123"/>
      <c r="F273" s="123"/>
      <c r="G273" s="123"/>
    </row>
    <row r="274" spans="2:7" x14ac:dyDescent="0.35">
      <c r="B274" s="116"/>
      <c r="D274" s="123"/>
      <c r="E274" s="123"/>
      <c r="F274" s="123"/>
      <c r="G274" s="123"/>
    </row>
    <row r="275" spans="2:7" x14ac:dyDescent="0.35">
      <c r="B275" s="116"/>
      <c r="D275" s="123"/>
      <c r="E275" s="123"/>
      <c r="F275" s="123"/>
      <c r="G275" s="123"/>
    </row>
    <row r="276" spans="2:7" x14ac:dyDescent="0.35">
      <c r="B276" s="116"/>
      <c r="D276" s="123"/>
      <c r="E276" s="123"/>
      <c r="F276" s="123"/>
      <c r="G276" s="123"/>
    </row>
    <row r="277" spans="2:7" x14ac:dyDescent="0.35">
      <c r="B277" s="116"/>
      <c r="D277" s="123"/>
      <c r="E277" s="123"/>
      <c r="F277" s="123"/>
      <c r="G277" s="123"/>
    </row>
    <row r="278" spans="2:7" x14ac:dyDescent="0.35">
      <c r="B278" s="116"/>
      <c r="D278" s="123"/>
      <c r="E278" s="123"/>
      <c r="F278" s="123"/>
      <c r="G278" s="123"/>
    </row>
    <row r="279" spans="2:7" x14ac:dyDescent="0.35">
      <c r="B279" s="116"/>
      <c r="D279" s="123"/>
      <c r="E279" s="123"/>
      <c r="F279" s="123"/>
      <c r="G279" s="123"/>
    </row>
    <row r="280" spans="2:7" x14ac:dyDescent="0.35">
      <c r="B280" s="116"/>
      <c r="D280" s="123"/>
      <c r="E280" s="123"/>
      <c r="F280" s="123"/>
      <c r="G280" s="123"/>
    </row>
    <row r="281" spans="2:7" x14ac:dyDescent="0.35">
      <c r="B281" s="116"/>
      <c r="D281" s="123"/>
      <c r="E281" s="123"/>
      <c r="F281" s="123"/>
      <c r="G281" s="123"/>
    </row>
    <row r="282" spans="2:7" x14ac:dyDescent="0.35">
      <c r="B282" s="116"/>
      <c r="D282" s="123"/>
      <c r="E282" s="123"/>
      <c r="F282" s="123"/>
      <c r="G282" s="123"/>
    </row>
    <row r="283" spans="2:7" x14ac:dyDescent="0.35">
      <c r="B283" s="116"/>
      <c r="D283" s="123"/>
      <c r="E283" s="123"/>
      <c r="F283" s="123"/>
      <c r="G283" s="123"/>
    </row>
    <row r="284" spans="2:7" x14ac:dyDescent="0.35">
      <c r="B284" s="116"/>
      <c r="D284" s="123"/>
      <c r="E284" s="123"/>
      <c r="F284" s="123"/>
      <c r="G284" s="123"/>
    </row>
    <row r="285" spans="2:7" x14ac:dyDescent="0.35">
      <c r="B285" s="117"/>
      <c r="D285" s="123"/>
      <c r="E285" s="123"/>
      <c r="F285" s="123"/>
      <c r="G285" s="123"/>
    </row>
    <row r="286" spans="2:7" x14ac:dyDescent="0.35">
      <c r="B286" s="57"/>
      <c r="D286" s="124"/>
      <c r="E286" s="124"/>
      <c r="F286" s="124"/>
      <c r="G286" s="124"/>
    </row>
    <row r="287" spans="2:7" x14ac:dyDescent="0.35">
      <c r="B287" s="57"/>
    </row>
    <row r="288" spans="2:7" x14ac:dyDescent="0.35">
      <c r="B288" s="57"/>
    </row>
    <row r="289" spans="2:2" x14ac:dyDescent="0.35">
      <c r="B289" s="57"/>
    </row>
    <row r="290" spans="2:2" x14ac:dyDescent="0.35">
      <c r="B290" s="57"/>
    </row>
    <row r="291" spans="2:2" x14ac:dyDescent="0.35">
      <c r="B291" s="57"/>
    </row>
    <row r="292" spans="2:2" x14ac:dyDescent="0.35">
      <c r="B292" s="57"/>
    </row>
    <row r="293" spans="2:2" x14ac:dyDescent="0.35">
      <c r="B293" s="57"/>
    </row>
    <row r="294" spans="2:2" x14ac:dyDescent="0.35">
      <c r="B294" s="57"/>
    </row>
    <row r="295" spans="2:2" x14ac:dyDescent="0.35">
      <c r="B295" s="57"/>
    </row>
    <row r="296" spans="2:2" x14ac:dyDescent="0.35">
      <c r="B296" s="57"/>
    </row>
    <row r="297" spans="2:2" x14ac:dyDescent="0.35">
      <c r="B297" s="57"/>
    </row>
    <row r="298" spans="2:2" x14ac:dyDescent="0.35">
      <c r="B298" s="57"/>
    </row>
    <row r="299" spans="2:2" x14ac:dyDescent="0.35">
      <c r="B299" s="57"/>
    </row>
    <row r="300" spans="2:2" x14ac:dyDescent="0.35">
      <c r="B300" s="57"/>
    </row>
    <row r="301" spans="2:2" x14ac:dyDescent="0.35">
      <c r="B301" s="57"/>
    </row>
    <row r="302" spans="2:2" x14ac:dyDescent="0.35">
      <c r="B302" s="57"/>
    </row>
    <row r="303" spans="2:2" x14ac:dyDescent="0.35">
      <c r="B303" s="57"/>
    </row>
    <row r="304" spans="2:2" x14ac:dyDescent="0.35">
      <c r="B304" s="57"/>
    </row>
    <row r="305" spans="2:2" x14ac:dyDescent="0.35">
      <c r="B305" s="57"/>
    </row>
    <row r="306" spans="2:2" x14ac:dyDescent="0.35">
      <c r="B306" s="57"/>
    </row>
    <row r="307" spans="2:2" x14ac:dyDescent="0.35">
      <c r="B307" s="57"/>
    </row>
    <row r="308" spans="2:2" x14ac:dyDescent="0.35">
      <c r="B308" s="57"/>
    </row>
    <row r="309" spans="2:2" x14ac:dyDescent="0.35">
      <c r="B309" s="57"/>
    </row>
    <row r="310" spans="2:2" x14ac:dyDescent="0.35">
      <c r="B310" s="57"/>
    </row>
    <row r="311" spans="2:2" x14ac:dyDescent="0.35">
      <c r="B311" s="57"/>
    </row>
    <row r="312" spans="2:2" x14ac:dyDescent="0.35">
      <c r="B312" s="57"/>
    </row>
    <row r="313" spans="2:2" x14ac:dyDescent="0.35">
      <c r="B313" s="57"/>
    </row>
    <row r="314" spans="2:2" x14ac:dyDescent="0.35">
      <c r="B314" s="57"/>
    </row>
    <row r="315" spans="2:2" x14ac:dyDescent="0.35">
      <c r="B315" s="57"/>
    </row>
    <row r="316" spans="2:2" x14ac:dyDescent="0.35">
      <c r="B316" s="57"/>
    </row>
    <row r="317" spans="2:2" x14ac:dyDescent="0.35">
      <c r="B317" s="57"/>
    </row>
    <row r="318" spans="2:2" x14ac:dyDescent="0.35">
      <c r="B318" s="57"/>
    </row>
    <row r="319" spans="2:2" x14ac:dyDescent="0.35">
      <c r="B319" s="57"/>
    </row>
    <row r="320" spans="2:2" x14ac:dyDescent="0.35">
      <c r="B320" s="57"/>
    </row>
    <row r="321" spans="2:2" x14ac:dyDescent="0.35">
      <c r="B321" s="57"/>
    </row>
    <row r="322" spans="2:2" x14ac:dyDescent="0.35">
      <c r="B322" s="57"/>
    </row>
    <row r="323" spans="2:2" x14ac:dyDescent="0.35">
      <c r="B323" s="57"/>
    </row>
    <row r="324" spans="2:2" x14ac:dyDescent="0.35">
      <c r="B324" s="57"/>
    </row>
    <row r="325" spans="2:2" x14ac:dyDescent="0.35">
      <c r="B325" s="57"/>
    </row>
    <row r="326" spans="2:2" x14ac:dyDescent="0.35">
      <c r="B326" s="57"/>
    </row>
    <row r="327" spans="2:2" x14ac:dyDescent="0.35">
      <c r="B327" s="57"/>
    </row>
    <row r="328" spans="2:2" x14ac:dyDescent="0.35">
      <c r="B328" s="57"/>
    </row>
    <row r="329" spans="2:2" x14ac:dyDescent="0.35">
      <c r="B329" s="57"/>
    </row>
    <row r="330" spans="2:2" x14ac:dyDescent="0.35">
      <c r="B330" s="57"/>
    </row>
    <row r="331" spans="2:2" x14ac:dyDescent="0.35">
      <c r="B331" s="57"/>
    </row>
    <row r="332" spans="2:2" x14ac:dyDescent="0.35">
      <c r="B332" s="57"/>
    </row>
    <row r="333" spans="2:2" x14ac:dyDescent="0.35">
      <c r="B333" s="57"/>
    </row>
    <row r="334" spans="2:2" x14ac:dyDescent="0.35">
      <c r="B334" s="57"/>
    </row>
    <row r="335" spans="2:2" x14ac:dyDescent="0.35">
      <c r="B335" s="57"/>
    </row>
    <row r="336" spans="2:2" x14ac:dyDescent="0.35">
      <c r="B336" s="57"/>
    </row>
    <row r="337" spans="2:2" x14ac:dyDescent="0.35">
      <c r="B337" s="57"/>
    </row>
    <row r="338" spans="2:2" x14ac:dyDescent="0.35">
      <c r="B338" s="57"/>
    </row>
    <row r="339" spans="2:2" x14ac:dyDescent="0.35">
      <c r="B339" s="57"/>
    </row>
    <row r="340" spans="2:2" x14ac:dyDescent="0.35">
      <c r="B340" s="57"/>
    </row>
    <row r="341" spans="2:2" x14ac:dyDescent="0.35">
      <c r="B341" s="57"/>
    </row>
    <row r="342" spans="2:2" x14ac:dyDescent="0.35">
      <c r="B342" s="57"/>
    </row>
    <row r="343" spans="2:2" x14ac:dyDescent="0.35">
      <c r="B343" s="57"/>
    </row>
    <row r="344" spans="2:2" x14ac:dyDescent="0.35">
      <c r="B344" s="57"/>
    </row>
    <row r="345" spans="2:2" x14ac:dyDescent="0.35">
      <c r="B345" s="57"/>
    </row>
    <row r="346" spans="2:2" x14ac:dyDescent="0.35">
      <c r="B346" s="57"/>
    </row>
    <row r="347" spans="2:2" x14ac:dyDescent="0.35">
      <c r="B347" s="57"/>
    </row>
    <row r="348" spans="2:2" x14ac:dyDescent="0.35">
      <c r="B348" s="57"/>
    </row>
    <row r="349" spans="2:2" x14ac:dyDescent="0.35">
      <c r="B349" s="57"/>
    </row>
    <row r="350" spans="2:2" x14ac:dyDescent="0.35">
      <c r="B350" s="57"/>
    </row>
    <row r="351" spans="2:2" x14ac:dyDescent="0.35">
      <c r="B351" s="57"/>
    </row>
    <row r="352" spans="2:2" x14ac:dyDescent="0.35">
      <c r="B352" s="57"/>
    </row>
    <row r="353" spans="2:2" x14ac:dyDescent="0.35">
      <c r="B353" s="57"/>
    </row>
    <row r="354" spans="2:2" x14ac:dyDescent="0.35">
      <c r="B354" s="57"/>
    </row>
    <row r="355" spans="2:2" x14ac:dyDescent="0.35">
      <c r="B355" s="57"/>
    </row>
    <row r="356" spans="2:2" x14ac:dyDescent="0.35">
      <c r="B356" s="57"/>
    </row>
    <row r="357" spans="2:2" x14ac:dyDescent="0.35">
      <c r="B357" s="57"/>
    </row>
    <row r="358" spans="2:2" x14ac:dyDescent="0.35">
      <c r="B358" s="57"/>
    </row>
    <row r="359" spans="2:2" x14ac:dyDescent="0.35">
      <c r="B359" s="57"/>
    </row>
    <row r="360" spans="2:2" x14ac:dyDescent="0.35">
      <c r="B360" s="57"/>
    </row>
    <row r="361" spans="2:2" x14ac:dyDescent="0.35">
      <c r="B361" s="57"/>
    </row>
    <row r="362" spans="2:2" x14ac:dyDescent="0.35">
      <c r="B362" s="57"/>
    </row>
    <row r="363" spans="2:2" x14ac:dyDescent="0.35">
      <c r="B363" s="57"/>
    </row>
    <row r="364" spans="2:2" x14ac:dyDescent="0.35">
      <c r="B364" s="57"/>
    </row>
    <row r="365" spans="2:2" x14ac:dyDescent="0.35">
      <c r="B365" s="57"/>
    </row>
    <row r="366" spans="2:2" x14ac:dyDescent="0.35">
      <c r="B366" s="57"/>
    </row>
    <row r="367" spans="2:2" x14ac:dyDescent="0.35">
      <c r="B367" s="57"/>
    </row>
    <row r="368" spans="2:2" x14ac:dyDescent="0.35">
      <c r="B368" s="57"/>
    </row>
    <row r="369" spans="2:2" x14ac:dyDescent="0.35">
      <c r="B369" s="57"/>
    </row>
    <row r="370" spans="2:2" x14ac:dyDescent="0.35">
      <c r="B370" s="57"/>
    </row>
    <row r="371" spans="2:2" x14ac:dyDescent="0.35">
      <c r="B371" s="57"/>
    </row>
    <row r="372" spans="2:2" x14ac:dyDescent="0.35">
      <c r="B372" s="57"/>
    </row>
    <row r="373" spans="2:2" x14ac:dyDescent="0.35">
      <c r="B373" s="57"/>
    </row>
    <row r="374" spans="2:2" x14ac:dyDescent="0.35">
      <c r="B374" s="57"/>
    </row>
    <row r="375" spans="2:2" x14ac:dyDescent="0.35">
      <c r="B375" s="57"/>
    </row>
    <row r="376" spans="2:2" x14ac:dyDescent="0.35">
      <c r="B376" s="57"/>
    </row>
    <row r="377" spans="2:2" x14ac:dyDescent="0.35">
      <c r="B377" s="57"/>
    </row>
    <row r="378" spans="2:2" x14ac:dyDescent="0.35">
      <c r="B378" s="57"/>
    </row>
    <row r="379" spans="2:2" x14ac:dyDescent="0.35">
      <c r="B379" s="57"/>
    </row>
    <row r="380" spans="2:2" x14ac:dyDescent="0.35">
      <c r="B380" s="57"/>
    </row>
    <row r="381" spans="2:2" x14ac:dyDescent="0.35">
      <c r="B381" s="57"/>
    </row>
    <row r="382" spans="2:2" x14ac:dyDescent="0.35">
      <c r="B382" s="57"/>
    </row>
    <row r="383" spans="2:2" x14ac:dyDescent="0.35">
      <c r="B383" s="57"/>
    </row>
    <row r="384" spans="2:2" x14ac:dyDescent="0.35">
      <c r="B384" s="57"/>
    </row>
    <row r="385" spans="2:2" x14ac:dyDescent="0.35">
      <c r="B385" s="57"/>
    </row>
    <row r="386" spans="2:2" x14ac:dyDescent="0.35">
      <c r="B386" s="57"/>
    </row>
    <row r="387" spans="2:2" x14ac:dyDescent="0.35">
      <c r="B387" s="57"/>
    </row>
    <row r="388" spans="2:2" x14ac:dyDescent="0.35">
      <c r="B388" s="57"/>
    </row>
    <row r="389" spans="2:2" x14ac:dyDescent="0.35">
      <c r="B389" s="57"/>
    </row>
    <row r="390" spans="2:2" x14ac:dyDescent="0.35">
      <c r="B390" s="57"/>
    </row>
    <row r="391" spans="2:2" x14ac:dyDescent="0.35">
      <c r="B391" s="57"/>
    </row>
    <row r="392" spans="2:2" x14ac:dyDescent="0.35">
      <c r="B392" s="57"/>
    </row>
    <row r="393" spans="2:2" x14ac:dyDescent="0.35">
      <c r="B393" s="57"/>
    </row>
    <row r="394" spans="2:2" x14ac:dyDescent="0.35">
      <c r="B394" s="57"/>
    </row>
    <row r="395" spans="2:2" x14ac:dyDescent="0.35">
      <c r="B395" s="57"/>
    </row>
    <row r="396" spans="2:2" x14ac:dyDescent="0.35">
      <c r="B396" s="57"/>
    </row>
    <row r="397" spans="2:2" x14ac:dyDescent="0.35">
      <c r="B397" s="57"/>
    </row>
    <row r="398" spans="2:2" x14ac:dyDescent="0.35">
      <c r="B398" s="57"/>
    </row>
    <row r="399" spans="2:2" x14ac:dyDescent="0.35">
      <c r="B399" s="57"/>
    </row>
    <row r="400" spans="2:2" x14ac:dyDescent="0.35">
      <c r="B400" s="57"/>
    </row>
    <row r="401" spans="2:2" x14ac:dyDescent="0.35">
      <c r="B401" s="57"/>
    </row>
    <row r="402" spans="2:2" x14ac:dyDescent="0.35">
      <c r="B402" s="57"/>
    </row>
    <row r="403" spans="2:2" x14ac:dyDescent="0.35">
      <c r="B403" s="57"/>
    </row>
    <row r="404" spans="2:2" x14ac:dyDescent="0.35">
      <c r="B404" s="57"/>
    </row>
    <row r="405" spans="2:2" x14ac:dyDescent="0.35">
      <c r="B405" s="57"/>
    </row>
    <row r="406" spans="2:2" x14ac:dyDescent="0.35">
      <c r="B406" s="57"/>
    </row>
    <row r="407" spans="2:2" x14ac:dyDescent="0.35">
      <c r="B407" s="57"/>
    </row>
    <row r="408" spans="2:2" x14ac:dyDescent="0.35">
      <c r="B408" s="57"/>
    </row>
    <row r="409" spans="2:2" x14ac:dyDescent="0.35">
      <c r="B409" s="57"/>
    </row>
    <row r="410" spans="2:2" x14ac:dyDescent="0.35">
      <c r="B410" s="57"/>
    </row>
    <row r="411" spans="2:2" x14ac:dyDescent="0.35">
      <c r="B411" s="57"/>
    </row>
    <row r="412" spans="2:2" x14ac:dyDescent="0.35">
      <c r="B412" s="57"/>
    </row>
    <row r="413" spans="2:2" x14ac:dyDescent="0.35">
      <c r="B413" s="57"/>
    </row>
    <row r="414" spans="2:2" x14ac:dyDescent="0.35">
      <c r="B414" s="57"/>
    </row>
    <row r="415" spans="2:2" x14ac:dyDescent="0.35">
      <c r="B415" s="57"/>
    </row>
    <row r="416" spans="2:2" x14ac:dyDescent="0.35">
      <c r="B416" s="57"/>
    </row>
    <row r="417" spans="2:2" x14ac:dyDescent="0.35">
      <c r="B417" s="57"/>
    </row>
    <row r="418" spans="2:2" x14ac:dyDescent="0.35">
      <c r="B418" s="57"/>
    </row>
    <row r="419" spans="2:2" x14ac:dyDescent="0.35">
      <c r="B419" s="57"/>
    </row>
    <row r="420" spans="2:2" x14ac:dyDescent="0.35">
      <c r="B420" s="57"/>
    </row>
    <row r="421" spans="2:2" x14ac:dyDescent="0.35">
      <c r="B421" s="57"/>
    </row>
    <row r="422" spans="2:2" x14ac:dyDescent="0.35">
      <c r="B422" s="57"/>
    </row>
    <row r="423" spans="2:2" x14ac:dyDescent="0.35">
      <c r="B423" s="57"/>
    </row>
    <row r="424" spans="2:2" x14ac:dyDescent="0.35">
      <c r="B424" s="57"/>
    </row>
    <row r="425" spans="2:2" x14ac:dyDescent="0.35">
      <c r="B425" s="57"/>
    </row>
    <row r="426" spans="2:2" x14ac:dyDescent="0.35">
      <c r="B426" s="57"/>
    </row>
    <row r="427" spans="2:2" x14ac:dyDescent="0.35">
      <c r="B427" s="57"/>
    </row>
    <row r="428" spans="2:2" x14ac:dyDescent="0.35">
      <c r="B428" s="57"/>
    </row>
    <row r="429" spans="2:2" x14ac:dyDescent="0.35">
      <c r="B429" s="57"/>
    </row>
    <row r="430" spans="2:2" x14ac:dyDescent="0.35">
      <c r="B430" s="57"/>
    </row>
    <row r="431" spans="2:2" x14ac:dyDescent="0.35">
      <c r="B431" s="57"/>
    </row>
    <row r="432" spans="2:2" x14ac:dyDescent="0.35">
      <c r="B432" s="57"/>
    </row>
    <row r="433" spans="2:2" x14ac:dyDescent="0.35">
      <c r="B433" s="57"/>
    </row>
    <row r="434" spans="2:2" x14ac:dyDescent="0.35">
      <c r="B434" s="57"/>
    </row>
    <row r="435" spans="2:2" x14ac:dyDescent="0.35">
      <c r="B435" s="57"/>
    </row>
    <row r="436" spans="2:2" x14ac:dyDescent="0.35">
      <c r="B436" s="57"/>
    </row>
    <row r="437" spans="2:2" x14ac:dyDescent="0.35">
      <c r="B437" s="57"/>
    </row>
    <row r="438" spans="2:2" x14ac:dyDescent="0.35">
      <c r="B438" s="57"/>
    </row>
    <row r="439" spans="2:2" x14ac:dyDescent="0.35">
      <c r="B439" s="57"/>
    </row>
    <row r="440" spans="2:2" x14ac:dyDescent="0.35">
      <c r="B440" s="57"/>
    </row>
    <row r="441" spans="2:2" x14ac:dyDescent="0.35">
      <c r="B441" s="57"/>
    </row>
    <row r="442" spans="2:2" x14ac:dyDescent="0.35">
      <c r="B442" s="57"/>
    </row>
    <row r="443" spans="2:2" x14ac:dyDescent="0.35">
      <c r="B443" s="57"/>
    </row>
    <row r="444" spans="2:2" x14ac:dyDescent="0.35">
      <c r="B444" s="57"/>
    </row>
    <row r="445" spans="2:2" x14ac:dyDescent="0.35">
      <c r="B445" s="57"/>
    </row>
    <row r="446" spans="2:2" x14ac:dyDescent="0.35">
      <c r="B446" s="57"/>
    </row>
    <row r="447" spans="2:2" x14ac:dyDescent="0.35">
      <c r="B447" s="57"/>
    </row>
    <row r="448" spans="2:2" x14ac:dyDescent="0.35">
      <c r="B448" s="57"/>
    </row>
    <row r="449" spans="2:2" x14ac:dyDescent="0.35">
      <c r="B449" s="57"/>
    </row>
    <row r="450" spans="2:2" x14ac:dyDescent="0.35">
      <c r="B450" s="57"/>
    </row>
    <row r="451" spans="2:2" x14ac:dyDescent="0.35">
      <c r="B451" s="57"/>
    </row>
    <row r="452" spans="2:2" x14ac:dyDescent="0.35">
      <c r="B452" s="57"/>
    </row>
    <row r="453" spans="2:2" x14ac:dyDescent="0.35">
      <c r="B453" s="57"/>
    </row>
    <row r="454" spans="2:2" x14ac:dyDescent="0.35">
      <c r="B454" s="57"/>
    </row>
    <row r="455" spans="2:2" x14ac:dyDescent="0.35">
      <c r="B455" s="57"/>
    </row>
    <row r="456" spans="2:2" x14ac:dyDescent="0.35">
      <c r="B456" s="57"/>
    </row>
    <row r="457" spans="2:2" x14ac:dyDescent="0.35">
      <c r="B457" s="57"/>
    </row>
    <row r="458" spans="2:2" x14ac:dyDescent="0.35">
      <c r="B458" s="57"/>
    </row>
    <row r="459" spans="2:2" x14ac:dyDescent="0.35">
      <c r="B459" s="57"/>
    </row>
    <row r="460" spans="2:2" x14ac:dyDescent="0.35">
      <c r="B460" s="57"/>
    </row>
    <row r="461" spans="2:2" x14ac:dyDescent="0.35">
      <c r="B461" s="57"/>
    </row>
    <row r="462" spans="2:2" x14ac:dyDescent="0.35">
      <c r="B462" s="57"/>
    </row>
    <row r="463" spans="2:2" x14ac:dyDescent="0.35">
      <c r="B463" s="57"/>
    </row>
    <row r="464" spans="2:2" x14ac:dyDescent="0.35">
      <c r="B464" s="57"/>
    </row>
    <row r="465" spans="2:2" x14ac:dyDescent="0.35">
      <c r="B465" s="57"/>
    </row>
    <row r="466" spans="2:2" x14ac:dyDescent="0.35">
      <c r="B466" s="57"/>
    </row>
    <row r="467" spans="2:2" x14ac:dyDescent="0.35">
      <c r="B467" s="57"/>
    </row>
    <row r="468" spans="2:2" x14ac:dyDescent="0.35">
      <c r="B468" s="57"/>
    </row>
    <row r="469" spans="2:2" x14ac:dyDescent="0.35">
      <c r="B469" s="57"/>
    </row>
    <row r="470" spans="2:2" x14ac:dyDescent="0.35">
      <c r="B470" s="57"/>
    </row>
    <row r="471" spans="2:2" x14ac:dyDescent="0.35">
      <c r="B471" s="57"/>
    </row>
    <row r="472" spans="2:2" x14ac:dyDescent="0.35">
      <c r="B472" s="57"/>
    </row>
    <row r="473" spans="2:2" x14ac:dyDescent="0.35">
      <c r="B473" s="57"/>
    </row>
    <row r="474" spans="2:2" x14ac:dyDescent="0.35">
      <c r="B474" s="57"/>
    </row>
    <row r="475" spans="2:2" x14ac:dyDescent="0.35">
      <c r="B475" s="57"/>
    </row>
    <row r="476" spans="2:2" x14ac:dyDescent="0.35">
      <c r="B476" s="57"/>
    </row>
    <row r="477" spans="2:2" x14ac:dyDescent="0.35">
      <c r="B477" s="57"/>
    </row>
    <row r="478" spans="2:2" x14ac:dyDescent="0.35">
      <c r="B478" s="57"/>
    </row>
    <row r="479" spans="2:2" x14ac:dyDescent="0.35">
      <c r="B479" s="57"/>
    </row>
    <row r="480" spans="2:2" x14ac:dyDescent="0.35">
      <c r="B480" s="57"/>
    </row>
    <row r="481" spans="2:2" x14ac:dyDescent="0.35">
      <c r="B481" s="57"/>
    </row>
    <row r="482" spans="2:2" x14ac:dyDescent="0.35">
      <c r="B482" s="57"/>
    </row>
    <row r="483" spans="2:2" x14ac:dyDescent="0.35">
      <c r="B483" s="57"/>
    </row>
    <row r="484" spans="2:2" x14ac:dyDescent="0.35">
      <c r="B484" s="57"/>
    </row>
    <row r="485" spans="2:2" x14ac:dyDescent="0.35">
      <c r="B485" s="57"/>
    </row>
    <row r="486" spans="2:2" x14ac:dyDescent="0.35">
      <c r="B486" s="57"/>
    </row>
    <row r="487" spans="2:2" x14ac:dyDescent="0.35">
      <c r="B487" s="57"/>
    </row>
    <row r="488" spans="2:2" x14ac:dyDescent="0.35">
      <c r="B488" s="57"/>
    </row>
    <row r="489" spans="2:2" x14ac:dyDescent="0.35">
      <c r="B489" s="57"/>
    </row>
    <row r="490" spans="2:2" x14ac:dyDescent="0.35">
      <c r="B490" s="57"/>
    </row>
    <row r="491" spans="2:2" x14ac:dyDescent="0.35">
      <c r="B491" s="57"/>
    </row>
    <row r="492" spans="2:2" x14ac:dyDescent="0.35">
      <c r="B492" s="57"/>
    </row>
    <row r="493" spans="2:2" x14ac:dyDescent="0.35">
      <c r="B493" s="57"/>
    </row>
    <row r="494" spans="2:2" x14ac:dyDescent="0.35">
      <c r="B494" s="57"/>
    </row>
    <row r="495" spans="2:2" x14ac:dyDescent="0.35">
      <c r="B495" s="57"/>
    </row>
    <row r="496" spans="2:2" x14ac:dyDescent="0.35">
      <c r="B496" s="57"/>
    </row>
    <row r="497" spans="2:2" x14ac:dyDescent="0.35">
      <c r="B497" s="57"/>
    </row>
    <row r="498" spans="2:2" x14ac:dyDescent="0.35">
      <c r="B498" s="57"/>
    </row>
    <row r="499" spans="2:2" x14ac:dyDescent="0.35">
      <c r="B499" s="57"/>
    </row>
    <row r="500" spans="2:2" x14ac:dyDescent="0.35">
      <c r="B500" s="57"/>
    </row>
    <row r="501" spans="2:2" x14ac:dyDescent="0.35">
      <c r="B501" s="57"/>
    </row>
    <row r="502" spans="2:2" x14ac:dyDescent="0.35">
      <c r="B502" s="57"/>
    </row>
    <row r="503" spans="2:2" x14ac:dyDescent="0.35">
      <c r="B503" s="57"/>
    </row>
    <row r="504" spans="2:2" x14ac:dyDescent="0.35">
      <c r="B504" s="57"/>
    </row>
    <row r="505" spans="2:2" x14ac:dyDescent="0.35">
      <c r="B505" s="57"/>
    </row>
    <row r="506" spans="2:2" x14ac:dyDescent="0.35">
      <c r="B506" s="57"/>
    </row>
    <row r="507" spans="2:2" x14ac:dyDescent="0.35">
      <c r="B507" s="57"/>
    </row>
    <row r="508" spans="2:2" x14ac:dyDescent="0.35">
      <c r="B508" s="57"/>
    </row>
    <row r="509" spans="2:2" x14ac:dyDescent="0.35">
      <c r="B509" s="57"/>
    </row>
    <row r="510" spans="2:2" x14ac:dyDescent="0.35">
      <c r="B510" s="57"/>
    </row>
    <row r="511" spans="2:2" x14ac:dyDescent="0.35">
      <c r="B511" s="57"/>
    </row>
    <row r="512" spans="2:2" x14ac:dyDescent="0.35">
      <c r="B512" s="57"/>
    </row>
    <row r="513" spans="2:2" x14ac:dyDescent="0.35">
      <c r="B513" s="57"/>
    </row>
    <row r="514" spans="2:2" x14ac:dyDescent="0.35">
      <c r="B514" s="57"/>
    </row>
    <row r="515" spans="2:2" x14ac:dyDescent="0.35">
      <c r="B515" s="57"/>
    </row>
    <row r="516" spans="2:2" x14ac:dyDescent="0.35">
      <c r="B516" s="57"/>
    </row>
    <row r="517" spans="2:2" x14ac:dyDescent="0.35">
      <c r="B517" s="57"/>
    </row>
    <row r="518" spans="2:2" x14ac:dyDescent="0.35">
      <c r="B518" s="57"/>
    </row>
    <row r="519" spans="2:2" x14ac:dyDescent="0.35">
      <c r="B519" s="57"/>
    </row>
    <row r="520" spans="2:2" x14ac:dyDescent="0.35">
      <c r="B520" s="57"/>
    </row>
    <row r="521" spans="2:2" x14ac:dyDescent="0.35">
      <c r="B521" s="57"/>
    </row>
    <row r="522" spans="2:2" x14ac:dyDescent="0.35">
      <c r="B522" s="57"/>
    </row>
    <row r="523" spans="2:2" x14ac:dyDescent="0.35">
      <c r="B523" s="57"/>
    </row>
    <row r="524" spans="2:2" x14ac:dyDescent="0.35">
      <c r="B524" s="57"/>
    </row>
    <row r="525" spans="2:2" x14ac:dyDescent="0.35">
      <c r="B525" s="57"/>
    </row>
    <row r="526" spans="2:2" x14ac:dyDescent="0.35">
      <c r="B526" s="57"/>
    </row>
    <row r="527" spans="2:2" x14ac:dyDescent="0.35">
      <c r="B527" s="57"/>
    </row>
    <row r="528" spans="2:2" x14ac:dyDescent="0.35">
      <c r="B528" s="57"/>
    </row>
    <row r="529" spans="2:2" x14ac:dyDescent="0.35">
      <c r="B529" s="57"/>
    </row>
    <row r="530" spans="2:2" x14ac:dyDescent="0.35">
      <c r="B530" s="57"/>
    </row>
    <row r="531" spans="2:2" x14ac:dyDescent="0.35">
      <c r="B531" s="57"/>
    </row>
    <row r="532" spans="2:2" x14ac:dyDescent="0.35">
      <c r="B532" s="57"/>
    </row>
    <row r="533" spans="2:2" x14ac:dyDescent="0.35">
      <c r="B533" s="57"/>
    </row>
    <row r="534" spans="2:2" x14ac:dyDescent="0.35">
      <c r="B534" s="57"/>
    </row>
    <row r="535" spans="2:2" x14ac:dyDescent="0.35">
      <c r="B535" s="57"/>
    </row>
    <row r="536" spans="2:2" x14ac:dyDescent="0.35">
      <c r="B536" s="57"/>
    </row>
    <row r="537" spans="2:2" x14ac:dyDescent="0.35">
      <c r="B537" s="57"/>
    </row>
    <row r="538" spans="2:2" x14ac:dyDescent="0.35">
      <c r="B538" s="57"/>
    </row>
    <row r="539" spans="2:2" x14ac:dyDescent="0.35">
      <c r="B539" s="57"/>
    </row>
    <row r="540" spans="2:2" x14ac:dyDescent="0.35">
      <c r="B540" s="57"/>
    </row>
    <row r="541" spans="2:2" x14ac:dyDescent="0.35">
      <c r="B541" s="57"/>
    </row>
    <row r="542" spans="2:2" x14ac:dyDescent="0.35">
      <c r="B542" s="57"/>
    </row>
    <row r="543" spans="2:2" x14ac:dyDescent="0.35">
      <c r="B543" s="57"/>
    </row>
    <row r="544" spans="2:2" x14ac:dyDescent="0.35">
      <c r="B544" s="57"/>
    </row>
    <row r="545" spans="2:2" x14ac:dyDescent="0.35">
      <c r="B545" s="57"/>
    </row>
    <row r="546" spans="2:2" x14ac:dyDescent="0.35">
      <c r="B546" s="57"/>
    </row>
    <row r="547" spans="2:2" x14ac:dyDescent="0.35">
      <c r="B547" s="57"/>
    </row>
    <row r="548" spans="2:2" x14ac:dyDescent="0.35">
      <c r="B548" s="57"/>
    </row>
    <row r="549" spans="2:2" x14ac:dyDescent="0.35">
      <c r="B549" s="57"/>
    </row>
    <row r="550" spans="2:2" x14ac:dyDescent="0.35">
      <c r="B550" s="57"/>
    </row>
    <row r="551" spans="2:2" x14ac:dyDescent="0.35">
      <c r="B551" s="57"/>
    </row>
    <row r="552" spans="2:2" x14ac:dyDescent="0.35">
      <c r="B552" s="57"/>
    </row>
    <row r="553" spans="2:2" x14ac:dyDescent="0.35">
      <c r="B553" s="57"/>
    </row>
    <row r="554" spans="2:2" x14ac:dyDescent="0.35">
      <c r="B554" s="57"/>
    </row>
    <row r="555" spans="2:2" x14ac:dyDescent="0.35">
      <c r="B555" s="57"/>
    </row>
    <row r="556" spans="2:2" x14ac:dyDescent="0.35">
      <c r="B556" s="57"/>
    </row>
    <row r="557" spans="2:2" x14ac:dyDescent="0.35">
      <c r="B557" s="57"/>
    </row>
    <row r="558" spans="2:2" x14ac:dyDescent="0.35">
      <c r="B558" s="57"/>
    </row>
    <row r="559" spans="2:2" x14ac:dyDescent="0.35">
      <c r="B559" s="57"/>
    </row>
    <row r="560" spans="2:2" x14ac:dyDescent="0.35">
      <c r="B560" s="57"/>
    </row>
    <row r="561" spans="2:2" x14ac:dyDescent="0.35">
      <c r="B561" s="57"/>
    </row>
    <row r="562" spans="2:2" x14ac:dyDescent="0.35">
      <c r="B562" s="57"/>
    </row>
    <row r="563" spans="2:2" x14ac:dyDescent="0.35">
      <c r="B563" s="57"/>
    </row>
    <row r="564" spans="2:2" x14ac:dyDescent="0.35">
      <c r="B564" s="57"/>
    </row>
    <row r="565" spans="2:2" x14ac:dyDescent="0.35">
      <c r="B565" s="57"/>
    </row>
    <row r="566" spans="2:2" x14ac:dyDescent="0.35">
      <c r="B566" s="57"/>
    </row>
    <row r="567" spans="2:2" x14ac:dyDescent="0.35">
      <c r="B567" s="57"/>
    </row>
    <row r="568" spans="2:2" x14ac:dyDescent="0.35">
      <c r="B568" s="57"/>
    </row>
    <row r="569" spans="2:2" x14ac:dyDescent="0.35">
      <c r="B569" s="57"/>
    </row>
    <row r="570" spans="2:2" x14ac:dyDescent="0.35">
      <c r="B570" s="57"/>
    </row>
    <row r="571" spans="2:2" x14ac:dyDescent="0.35">
      <c r="B571" s="57"/>
    </row>
    <row r="572" spans="2:2" x14ac:dyDescent="0.35">
      <c r="B572" s="57"/>
    </row>
    <row r="573" spans="2:2" x14ac:dyDescent="0.35">
      <c r="B573" s="57"/>
    </row>
    <row r="574" spans="2:2" x14ac:dyDescent="0.35">
      <c r="B574" s="57"/>
    </row>
    <row r="575" spans="2:2" x14ac:dyDescent="0.35">
      <c r="B575" s="57"/>
    </row>
    <row r="576" spans="2:2" x14ac:dyDescent="0.35">
      <c r="B576" s="57"/>
    </row>
    <row r="577" spans="2:2" x14ac:dyDescent="0.35">
      <c r="B577" s="57"/>
    </row>
    <row r="578" spans="2:2" x14ac:dyDescent="0.35">
      <c r="B578" s="57"/>
    </row>
    <row r="579" spans="2:2" x14ac:dyDescent="0.35">
      <c r="B579" s="57"/>
    </row>
    <row r="580" spans="2:2" x14ac:dyDescent="0.35">
      <c r="B580" s="57"/>
    </row>
    <row r="581" spans="2:2" x14ac:dyDescent="0.35">
      <c r="B581" s="57"/>
    </row>
  </sheetData>
  <sheetProtection formatRows="0" selectLockedCells="1"/>
  <pageMargins left="0.75" right="0.75" top="1" bottom="1" header="0.5" footer="0.5"/>
  <pageSetup paperSize="9"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H10"/>
  <sheetViews>
    <sheetView workbookViewId="0">
      <selection activeCell="N153" sqref="N153"/>
    </sheetView>
  </sheetViews>
  <sheetFormatPr baseColWidth="10" defaultColWidth="10.81640625" defaultRowHeight="14.5" x14ac:dyDescent="0.35"/>
  <sheetData>
    <row r="1" spans="1:8" x14ac:dyDescent="0.35">
      <c r="A1" t="s">
        <v>443</v>
      </c>
      <c r="B1">
        <f>SUM(C3:C43)</f>
        <v>4</v>
      </c>
      <c r="C1" t="str">
        <f>'General Info'!C4</f>
        <v>Deutsch</v>
      </c>
      <c r="D1">
        <f>SUM(E3:E8)</f>
        <v>0</v>
      </c>
      <c r="E1" t="e">
        <f>VLOOKUP(D1,A3:B12,2)</f>
        <v>#N/A</v>
      </c>
    </row>
    <row r="2" spans="1:8" x14ac:dyDescent="0.35">
      <c r="G2" s="128" t="s">
        <v>1285</v>
      </c>
      <c r="H2" s="128" t="s">
        <v>1284</v>
      </c>
    </row>
    <row r="3" spans="1:8" x14ac:dyDescent="0.35">
      <c r="A3">
        <v>1</v>
      </c>
      <c r="B3" t="s">
        <v>439</v>
      </c>
      <c r="C3">
        <f>IF(B3=$C$1,A3,0)</f>
        <v>0</v>
      </c>
      <c r="E3">
        <f>IF('Translation Page'!$C$1='Languages Available'!B3,A3,0)</f>
        <v>0</v>
      </c>
    </row>
    <row r="4" spans="1:8" x14ac:dyDescent="0.35">
      <c r="A4">
        <v>2</v>
      </c>
      <c r="B4" t="s">
        <v>782</v>
      </c>
      <c r="C4">
        <f t="shared" ref="C4:C10" si="0">IF(B4=$C$1,A4,0)</f>
        <v>0</v>
      </c>
      <c r="E4">
        <f>IF('Translation Page'!$C$1='Languages Available'!B4,A4,0)</f>
        <v>0</v>
      </c>
    </row>
    <row r="5" spans="1:8" x14ac:dyDescent="0.35">
      <c r="A5">
        <v>3</v>
      </c>
      <c r="B5" t="s">
        <v>896</v>
      </c>
      <c r="C5">
        <f t="shared" si="0"/>
        <v>0</v>
      </c>
      <c r="E5">
        <f>IF('Translation Page'!$C$1='Languages Available'!B5,A5,0)</f>
        <v>0</v>
      </c>
    </row>
    <row r="6" spans="1:8" x14ac:dyDescent="0.35">
      <c r="A6">
        <v>4</v>
      </c>
      <c r="B6" t="s">
        <v>1326</v>
      </c>
      <c r="C6">
        <f t="shared" si="0"/>
        <v>4</v>
      </c>
      <c r="E6">
        <f>IF('Translation Page'!$C$1='Languages Available'!B6,A6,0)</f>
        <v>0</v>
      </c>
    </row>
    <row r="7" spans="1:8" x14ac:dyDescent="0.35">
      <c r="A7">
        <v>5</v>
      </c>
      <c r="B7" t="s">
        <v>1829</v>
      </c>
      <c r="C7">
        <f t="shared" si="0"/>
        <v>0</v>
      </c>
      <c r="E7">
        <f>IF('Translation Page'!$C$1='Languages Available'!B8,A7,0)</f>
        <v>0</v>
      </c>
    </row>
    <row r="8" spans="1:8" x14ac:dyDescent="0.35">
      <c r="A8">
        <v>6</v>
      </c>
      <c r="B8" t="s">
        <v>3509</v>
      </c>
      <c r="C8">
        <f t="shared" si="0"/>
        <v>0</v>
      </c>
      <c r="E8">
        <f>IF('Translation Page'!$C$1='Languages Available'!B7,A8,0)</f>
        <v>0</v>
      </c>
    </row>
    <row r="9" spans="1:8" x14ac:dyDescent="0.35">
      <c r="A9">
        <v>7</v>
      </c>
      <c r="B9" t="s">
        <v>4464</v>
      </c>
      <c r="C9">
        <f t="shared" si="0"/>
        <v>0</v>
      </c>
    </row>
    <row r="10" spans="1:8" x14ac:dyDescent="0.35">
      <c r="A10">
        <v>8</v>
      </c>
      <c r="B10" t="s">
        <v>4680</v>
      </c>
      <c r="C10">
        <f t="shared" si="0"/>
        <v>0</v>
      </c>
    </row>
  </sheetData>
  <sheetProtection formatRows="0" selectLockedCells="1"/>
  <pageMargins left="0.75" right="0.75" top="1" bottom="1" header="0.5" footer="0.5"/>
  <pageSetup paperSize="9"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L26"/>
  <sheetViews>
    <sheetView workbookViewId="0">
      <selection activeCell="N153" sqref="N153"/>
    </sheetView>
  </sheetViews>
  <sheetFormatPr baseColWidth="10" defaultColWidth="11.453125" defaultRowHeight="14.5" x14ac:dyDescent="0.35"/>
  <cols>
    <col min="3" max="3" width="13.26953125" customWidth="1"/>
    <col min="5" max="5" width="4.26953125" customWidth="1"/>
  </cols>
  <sheetData>
    <row r="1" spans="1:12" x14ac:dyDescent="0.35">
      <c r="A1" t="s">
        <v>486</v>
      </c>
      <c r="E1" t="s">
        <v>1741</v>
      </c>
      <c r="L1" t="s">
        <v>1754</v>
      </c>
    </row>
    <row r="3" spans="1:12" x14ac:dyDescent="0.35">
      <c r="A3" t="s">
        <v>1731</v>
      </c>
      <c r="E3">
        <v>1</v>
      </c>
    </row>
    <row r="4" spans="1:12" x14ac:dyDescent="0.35">
      <c r="E4">
        <v>2</v>
      </c>
    </row>
    <row r="5" spans="1:12" x14ac:dyDescent="0.35">
      <c r="A5" t="s">
        <v>1732</v>
      </c>
      <c r="B5" t="e">
        <f ca="1">win_or_mac()</f>
        <v>#NAME?</v>
      </c>
      <c r="E5">
        <v>3</v>
      </c>
    </row>
    <row r="6" spans="1:12" x14ac:dyDescent="0.35">
      <c r="A6" t="s">
        <v>1739</v>
      </c>
      <c r="B6" t="e">
        <f ca="1">excel_version()</f>
        <v>#NAME?</v>
      </c>
      <c r="E6">
        <v>4</v>
      </c>
    </row>
    <row r="7" spans="1:12" x14ac:dyDescent="0.35">
      <c r="E7">
        <v>5</v>
      </c>
    </row>
    <row r="8" spans="1:12" x14ac:dyDescent="0.35">
      <c r="A8" t="s">
        <v>1740</v>
      </c>
      <c r="C8" t="e">
        <f ca="1">IF(B5="mac",DefaultMailProgram(),"windows send mail")</f>
        <v>#NAME?</v>
      </c>
      <c r="E8">
        <v>6</v>
      </c>
    </row>
    <row r="9" spans="1:12" x14ac:dyDescent="0.35">
      <c r="E9">
        <v>7</v>
      </c>
    </row>
    <row r="10" spans="1:12" x14ac:dyDescent="0.35">
      <c r="E10">
        <v>8</v>
      </c>
    </row>
    <row r="11" spans="1:12" x14ac:dyDescent="0.35">
      <c r="E11">
        <v>9</v>
      </c>
    </row>
    <row r="12" spans="1:12" x14ac:dyDescent="0.35">
      <c r="E12">
        <v>10</v>
      </c>
    </row>
    <row r="13" spans="1:12" x14ac:dyDescent="0.35">
      <c r="E13">
        <v>11</v>
      </c>
    </row>
    <row r="14" spans="1:12" x14ac:dyDescent="0.35">
      <c r="E14">
        <v>12</v>
      </c>
    </row>
    <row r="15" spans="1:12" x14ac:dyDescent="0.35">
      <c r="E15">
        <v>13</v>
      </c>
    </row>
    <row r="16" spans="1:12" x14ac:dyDescent="0.35">
      <c r="E16">
        <v>14</v>
      </c>
    </row>
    <row r="17" spans="1:5" x14ac:dyDescent="0.35">
      <c r="E17">
        <v>15</v>
      </c>
    </row>
    <row r="18" spans="1:5" x14ac:dyDescent="0.35">
      <c r="A18" t="s">
        <v>1733</v>
      </c>
      <c r="E18">
        <v>16</v>
      </c>
    </row>
    <row r="19" spans="1:5" x14ac:dyDescent="0.35">
      <c r="E19">
        <v>17</v>
      </c>
    </row>
    <row r="20" spans="1:5" x14ac:dyDescent="0.35">
      <c r="A20" t="s">
        <v>1734</v>
      </c>
      <c r="E20">
        <v>18</v>
      </c>
    </row>
    <row r="21" spans="1:5" x14ac:dyDescent="0.35">
      <c r="A21" t="s">
        <v>1735</v>
      </c>
      <c r="E21">
        <v>19</v>
      </c>
    </row>
    <row r="22" spans="1:5" x14ac:dyDescent="0.35">
      <c r="A22" t="s">
        <v>1736</v>
      </c>
      <c r="E22">
        <v>20</v>
      </c>
    </row>
    <row r="23" spans="1:5" x14ac:dyDescent="0.35">
      <c r="A23" t="s">
        <v>1730</v>
      </c>
      <c r="E23">
        <v>21</v>
      </c>
    </row>
    <row r="24" spans="1:5" x14ac:dyDescent="0.35">
      <c r="E24">
        <v>22</v>
      </c>
    </row>
    <row r="25" spans="1:5" x14ac:dyDescent="0.35">
      <c r="A25" t="s">
        <v>1737</v>
      </c>
      <c r="E25">
        <v>23</v>
      </c>
    </row>
    <row r="26" spans="1:5" x14ac:dyDescent="0.35">
      <c r="A26" t="s">
        <v>1738</v>
      </c>
      <c r="E26">
        <v>24</v>
      </c>
    </row>
  </sheetData>
  <sheetProtection formatRows="0" selectLockedCells="1"/>
  <pageMargins left="0.75" right="0.75" top="1" bottom="1" header="0.5" footer="0.5"/>
  <pageSetup paperSize="9"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1"/>
  <dimension ref="A1:C742"/>
  <sheetViews>
    <sheetView topLeftCell="A231" zoomScale="185" workbookViewId="0">
      <selection activeCell="N3" sqref="N3"/>
    </sheetView>
  </sheetViews>
  <sheetFormatPr baseColWidth="10" defaultColWidth="10.81640625" defaultRowHeight="14.5" x14ac:dyDescent="0.35"/>
  <cols>
    <col min="1" max="1" width="4.81640625" customWidth="1"/>
    <col min="2" max="2" width="65.81640625" style="459" customWidth="1"/>
    <col min="3" max="3" width="73.26953125" style="216" customWidth="1"/>
  </cols>
  <sheetData>
    <row r="1" spans="1:3" ht="21" x14ac:dyDescent="0.35">
      <c r="B1" s="458" t="s">
        <v>2538</v>
      </c>
      <c r="C1" s="135"/>
    </row>
    <row r="3" spans="1:3" ht="21" x14ac:dyDescent="0.35">
      <c r="A3" s="113"/>
      <c r="B3" s="458" t="s">
        <v>2924</v>
      </c>
      <c r="C3" s="214"/>
    </row>
    <row r="4" spans="1:3" x14ac:dyDescent="0.35">
      <c r="A4" s="4">
        <v>1</v>
      </c>
      <c r="B4" s="115" t="str">
        <f ca="1">Questions!F4</f>
        <v>Erforderliche Mindestkriterien</v>
      </c>
      <c r="C4" s="215"/>
    </row>
    <row r="5" spans="1:3" x14ac:dyDescent="0.35">
      <c r="A5" s="4">
        <v>2</v>
      </c>
      <c r="B5" s="116" t="str">
        <f ca="1">Questions!F5</f>
        <v>Die Parkeinrichtung muss öffentlich sein.</v>
      </c>
      <c r="C5" s="215"/>
    </row>
    <row r="6" spans="1:3" ht="29" x14ac:dyDescent="0.35">
      <c r="A6" s="4">
        <v>3</v>
      </c>
      <c r="B6" s="116" t="str">
        <f ca="1">Questions!F6</f>
        <v>Mindestdurchfahrtshöhe = 1,90m im öffentlich zugänglichen Bereich. Einzelne niedrigere Stellen müssen deutlich gekennzeichnet sein.</v>
      </c>
      <c r="C6" s="215"/>
    </row>
    <row r="7" spans="1:3" ht="29" x14ac:dyDescent="0.35">
      <c r="A7" s="4">
        <v>4</v>
      </c>
      <c r="B7" s="116" t="str">
        <f ca="1">Questions!F7</f>
        <v>Es muss mindestens eine getrennte Ein- und Ausfahrtsspur vorhanden sein. Zusätzliche, tageszeitlich in wechselnder Fahrtrichtung genutzte Wechselspuren sind zulässig.</v>
      </c>
      <c r="C7" s="215"/>
    </row>
    <row r="8" spans="1:3" ht="43.5" x14ac:dyDescent="0.35">
      <c r="A8" s="4">
        <v>5</v>
      </c>
      <c r="B8" s="116" t="str">
        <f ca="1">Questions!F8</f>
        <v>70% der Stellplätze müssen zumindest 2,30m breit sein. Für renovierte Betriebe, die über 10 Jahre alt sind, beträgt die Mindestbreite 2,25 m ( in diesem Fall kommt ein Punkteabzug zur Anwendung - siehe M8)</v>
      </c>
      <c r="C8" s="215"/>
    </row>
    <row r="9" spans="1:3" ht="43.5" x14ac:dyDescent="0.35">
      <c r="A9" s="4">
        <v>6</v>
      </c>
      <c r="B9" s="116" t="str">
        <f ca="1">Questions!F9</f>
        <v>Alle geraden Rampen mit Einbahnverkehr müssen mindestens 2,70 m breit sein. Rampen mit Gegenverkehr müssen mindestens 6,00 m breit sein und eine Fahrbahnmarkierung aufweisen. Die Messung erfolgt zwischen den Wänden oder Säulen.</v>
      </c>
      <c r="C9" s="215"/>
    </row>
    <row r="10" spans="1:3" ht="58" x14ac:dyDescent="0.35">
      <c r="A10" s="4">
        <v>7</v>
      </c>
      <c r="B10" s="116" t="str">
        <f ca="1">Questions!F10</f>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c r="C10" s="215"/>
    </row>
    <row r="11" spans="1:3" ht="43.5" x14ac:dyDescent="0.35">
      <c r="A11" s="4">
        <v>8</v>
      </c>
      <c r="B11" s="116" t="str">
        <f ca="1">Questions!F11</f>
        <v>Rampen dürfen eine Steigung von 20% nicht überschreiten. Die Messung erfolgt in der Mitte der Fahrspur. Bei gekrümmten Rampen mit Gegenverkehr gilt das für die innere (steilste) Spur.</v>
      </c>
      <c r="C11" s="215"/>
    </row>
    <row r="12" spans="1:3" ht="43.5" x14ac:dyDescent="0.35">
      <c r="A12" s="4">
        <v>9</v>
      </c>
      <c r="B12" s="116" t="str">
        <f ca="1">Questions!F12</f>
        <v>Wenn der Parkbetrieb entgeltlich geführt wird und die Bewirtschaftung über Schrankensysteme oder Tore erfolgt, muss Personal an den Bezahl-, Ausfahrts- und Zugangspunkten erreichbar sein.</v>
      </c>
      <c r="C12" s="215"/>
    </row>
    <row r="13" spans="1:3" x14ac:dyDescent="0.35">
      <c r="A13" s="4">
        <v>10</v>
      </c>
      <c r="B13" s="116" t="str">
        <f ca="1">Questions!F13</f>
        <v>Eine Quittung muss (zumindest) auf Kundenanforderung ausgegeben werden.</v>
      </c>
      <c r="C13" s="215"/>
    </row>
    <row r="14" spans="1:3" ht="29" x14ac:dyDescent="0.35">
      <c r="A14" s="4">
        <v>11</v>
      </c>
      <c r="B14" s="116" t="str">
        <f ca="1">Questions!F14</f>
        <v>Alle Fahrmanöver müssen ohne Zurücksetzen des Fahrzeugs möglich sein. Ausnahmen sind Ein- und Ausparkmanöver oder Sackgassen.</v>
      </c>
      <c r="C14" s="215"/>
    </row>
    <row r="15" spans="1:3" x14ac:dyDescent="0.35">
      <c r="A15" s="4">
        <v>12</v>
      </c>
      <c r="B15" s="116" t="str">
        <f ca="1">Questions!F15</f>
        <v>Die durchschnittliche Ausleuchtung der Parkfläche (am Boden gemessen) beträgt mind. 20 Lux.</v>
      </c>
      <c r="C15" s="215"/>
    </row>
    <row r="16" spans="1:3" x14ac:dyDescent="0.35">
      <c r="A16" s="4">
        <v>13</v>
      </c>
      <c r="B16" s="116" t="str">
        <f ca="1">Questions!F16</f>
        <v>Beleuchtung</v>
      </c>
      <c r="C16" s="215"/>
    </row>
    <row r="17" spans="1:3" ht="58" x14ac:dyDescent="0.35">
      <c r="A17" s="4">
        <v>14</v>
      </c>
      <c r="B17" s="116" t="str">
        <f ca="1">Questions!F17</f>
        <v>Einfahrtsbereich; Messung am Boden
•  Über 200 Lux = 5;
•  Zwischen 75 - 200 Lux = 0,04 pt pro Lux über 75  
•  Unter 75 Lux = 0</v>
      </c>
      <c r="C17" s="215"/>
    </row>
    <row r="18" spans="1:3" ht="58" x14ac:dyDescent="0.35">
      <c r="A18" s="4">
        <v>15</v>
      </c>
      <c r="B18" s="116" t="str">
        <f ca="1">Questions!F18</f>
        <v>Einfahrt; in 1 m Höhe neben dem Ticketgeber
•  Über 200 Lux = 3;
•  Zwischen 100 - 200 Lux = 0,03 pt pro Lux über 100
•  Unter 100 Lux = 0</v>
      </c>
      <c r="C18" s="215"/>
    </row>
    <row r="19" spans="1:3" ht="58" x14ac:dyDescent="0.35">
      <c r="A19" s="4">
        <v>16</v>
      </c>
      <c r="B19" s="116" t="str">
        <f ca="1">Questions!F19</f>
        <v>Ausfahrt; in 1 m Höhe neben der Ausfahrtssäule
•  Über 200 Lux = 3;
•  Zwischen 100 - 200 Lux = 0,03 pt pro Lux über 100
•  Unter 100 Lux = 0</v>
      </c>
      <c r="C19" s="215"/>
    </row>
    <row r="20" spans="1:3" ht="72.5" x14ac:dyDescent="0.35">
      <c r="A20" s="4">
        <v>17</v>
      </c>
      <c r="B20" s="116" t="str">
        <f ca="1">Questions!F20</f>
        <v>Am Bezahlautomaten; in 1 m Höhe
•  Über 200 Lux = 4;
•  Zwischen 100 - 200 Lux = 0,04 pt pro Lux über 100
•  Unter 100 Lux = 0;
•  Kein Bezahlautomat = wie Ausfahrt (in diesem Fall "0" eingeben)</v>
      </c>
      <c r="C20" s="215"/>
    </row>
    <row r="21" spans="1:3" ht="72.5" x14ac:dyDescent="0.35">
      <c r="A21" s="4">
        <v>18</v>
      </c>
      <c r="B21" s="116" t="str">
        <f ca="1">Questions!F21</f>
        <v>An der Kasse; in Höhe des Kundenschalters
•  Über 200 Lux = 4;
•  Zwischen 100 - 200 Lux = 0,04 pt pro Lux über 100
•  Unter 100 Lux = 0;
•  Keine Kassenstation = 3  (in diesem Fall "0" eingeben)</v>
      </c>
      <c r="C21" s="215"/>
    </row>
    <row r="22" spans="1:3" ht="72.5" x14ac:dyDescent="0.35">
      <c r="A22" s="4">
        <v>19</v>
      </c>
      <c r="B22" s="116" t="str">
        <f ca="1">Questions!F22</f>
        <v>Im Aufzug; gesmessen am Boden
•  Über 70 Lux = 4;
•  Zwischen 30 - 70 Lux = 0,1 pt pro Lux über 30
•  Unter 30 Lux = 0;
•  Nur eine Parkebene ohne Aufzug = 3 (in diesem Fall "0" eingeben)</v>
      </c>
      <c r="C22" s="215"/>
    </row>
    <row r="23" spans="1:3" ht="58" x14ac:dyDescent="0.35">
      <c r="A23" s="4">
        <v>20</v>
      </c>
      <c r="B23" s="116" t="str">
        <f ca="1">Questions!F23</f>
        <v>In Treppenhäusern und allen Fußgängerbereichen; gemessen am Boden
•  Über 90 Lux = 3;
•  Zwischen 30 - 90 Lux = 0,05 pt pro Lux über 30
•  Unter 30 Lux = 0;</v>
      </c>
      <c r="C23" s="215"/>
    </row>
    <row r="24" spans="1:3" ht="72.5" x14ac:dyDescent="0.35">
      <c r="A24" s="4">
        <v>21</v>
      </c>
      <c r="B24" s="116" t="str">
        <f ca="1">Questions!F24</f>
        <v>Ausleuchtung der Parkfläche; gemessen am Boden: (Bitte die Tabelle ausfüllen) 
Durchschnittliche Ausleuchtung des Bereichs:
•  Über 100 Lux= 10;
•  Zwischen 20– 100 Lux: 0,125 pt pro Lux über 20 
•  Unter 20 Lux= 0</v>
      </c>
      <c r="C24" s="215"/>
    </row>
    <row r="25" spans="1:3" ht="58" x14ac:dyDescent="0.35">
      <c r="A25" s="4">
        <v>22</v>
      </c>
      <c r="B25" s="116" t="str">
        <f ca="1">Questions!F25</f>
        <v>Gleichmäßigkeit der Ausleuchtung (Standardabweichung)
•  Unter 25% vom Durchschnitt = 10;
•  Zwischen 25 - 50% = 0,4 pt pro % unter 50%
•  Über 50% =  0</v>
      </c>
      <c r="C25" s="215"/>
    </row>
    <row r="26" spans="1:3" x14ac:dyDescent="0.35">
      <c r="A26" s="4">
        <v>23</v>
      </c>
      <c r="B26" s="116" t="str">
        <f ca="1">Questions!F26</f>
        <v>Hilfsbereich für 2.8</v>
      </c>
      <c r="C26" s="215"/>
    </row>
    <row r="27" spans="1:3" x14ac:dyDescent="0.35">
      <c r="A27" s="4">
        <v>24</v>
      </c>
      <c r="B27" s="116" t="str">
        <f ca="1">Questions!F27</f>
        <v>Ende des Stellplatzes unter / zwischen Leuchtmittel</v>
      </c>
      <c r="C27" s="215"/>
    </row>
    <row r="28" spans="1:3" x14ac:dyDescent="0.35">
      <c r="A28" s="4">
        <v>25</v>
      </c>
      <c r="B28" s="116" t="str">
        <f ca="1">Questions!F28</f>
        <v>Mitte des Stellplatzes unter / zwischen Leuchtmittel</v>
      </c>
      <c r="C28" s="215"/>
    </row>
    <row r="29" spans="1:3" x14ac:dyDescent="0.35">
      <c r="A29" s="4">
        <v>26</v>
      </c>
      <c r="B29" s="116" t="str">
        <f ca="1">Questions!F29</f>
        <v>Fahrbahnrand unter / zwischen Leuchtmittel</v>
      </c>
      <c r="C29" s="215"/>
    </row>
    <row r="30" spans="1:3" x14ac:dyDescent="0.35">
      <c r="A30" s="4">
        <v>27</v>
      </c>
      <c r="B30" s="116" t="str">
        <f ca="1">Questions!F30</f>
        <v>Fahrbahnmitte unter / zwischen Leuchtmittel</v>
      </c>
      <c r="C30" s="215"/>
    </row>
    <row r="31" spans="1:3" x14ac:dyDescent="0.35">
      <c r="A31" s="4">
        <v>28</v>
      </c>
      <c r="B31" s="116" t="str">
        <f ca="1">Questions!F31</f>
        <v>Gegenüberliegender Fahrbahnrand unter / zwischen Leuchtmittel</v>
      </c>
      <c r="C31" s="215"/>
    </row>
    <row r="32" spans="1:3" x14ac:dyDescent="0.35">
      <c r="A32" s="4">
        <v>29</v>
      </c>
      <c r="B32" s="116" t="str">
        <f ca="1">Questions!F32</f>
        <v>Einfahrt / Ausfahrt</v>
      </c>
      <c r="C32" s="215"/>
    </row>
    <row r="33" spans="1:3" x14ac:dyDescent="0.35">
      <c r="A33" s="4">
        <v>30</v>
      </c>
      <c r="B33" s="116" t="str">
        <f ca="1">Questions!F33</f>
        <v>Inhalt</v>
      </c>
      <c r="C33" s="215"/>
    </row>
    <row r="34" spans="1:3" x14ac:dyDescent="0.35">
      <c r="A34" s="4">
        <v>31</v>
      </c>
      <c r="B34" s="116" t="str">
        <f ca="1">Questions!F34</f>
        <v>Max. Durchfahrtshöhe ist an der Einfahrt angegeben (ja=1, nein=0)</v>
      </c>
      <c r="C34" s="215"/>
    </row>
    <row r="35" spans="1:3" x14ac:dyDescent="0.35">
      <c r="A35" s="4">
        <v>32</v>
      </c>
      <c r="B35" s="116" t="str">
        <f ca="1">Questions!F35</f>
        <v>Korrekte Einfahrtsbeschilderung (ja=1, nein=0)</v>
      </c>
      <c r="C35" s="215"/>
    </row>
    <row r="36" spans="1:3" x14ac:dyDescent="0.35">
      <c r="A36" s="4">
        <v>33</v>
      </c>
      <c r="B36" s="116" t="str">
        <f ca="1">Questions!F36</f>
        <v>Höhenkontrollbalken (ja = 1; nein = 0)</v>
      </c>
      <c r="C36" s="215"/>
    </row>
    <row r="37" spans="1:3" x14ac:dyDescent="0.35">
      <c r="A37" s="4">
        <v>34</v>
      </c>
      <c r="B37" s="116" t="str">
        <f ca="1">Questions!F37</f>
        <v>Gummilippe , um Schaden zu verhindern (ja=1, nein=0)</v>
      </c>
      <c r="C37" s="215"/>
    </row>
    <row r="38" spans="1:3" ht="43.5" x14ac:dyDescent="0.35">
      <c r="A38" s="4">
        <v>35</v>
      </c>
      <c r="B38" s="116" t="str">
        <f ca="1">Questions!F38</f>
        <v>Durchfahrtshöhe:
(ein zusätzlicher Punkt je 10 cm über 1,90 m bis 2,20 m)</v>
      </c>
      <c r="C38" s="215"/>
    </row>
    <row r="39" spans="1:3" ht="58" x14ac:dyDescent="0.35">
      <c r="A39" s="4">
        <v>36</v>
      </c>
      <c r="B39" s="116" t="str">
        <f ca="1">Questions!F39</f>
        <v>Verkehrsleitsystem weist auf Benutzungseinschränkungen hin.
• klare Ausschilderung = 3
• teilweise Ausschilderung = 2
• keine Ausschilderung = 0</v>
      </c>
      <c r="C39" s="215"/>
    </row>
    <row r="40" spans="1:3" x14ac:dyDescent="0.35">
      <c r="A40" s="4">
        <v>37</v>
      </c>
      <c r="B40" s="116" t="str">
        <f ca="1">Questions!F40</f>
        <v>Informationen zu:</v>
      </c>
      <c r="C40" s="215"/>
    </row>
    <row r="41" spans="1:3" x14ac:dyDescent="0.35">
      <c r="A41" s="4">
        <v>38</v>
      </c>
      <c r="B41" s="116" t="str">
        <f ca="1">Questions!F41</f>
        <v>Nutzungs- und Einstellbedingungen des Betreibers</v>
      </c>
      <c r="C41" s="215"/>
    </row>
    <row r="42" spans="1:3" x14ac:dyDescent="0.35">
      <c r="A42" s="4">
        <v>39</v>
      </c>
      <c r="B42" s="116" t="str">
        <f ca="1">Questions!F42</f>
        <v>Tägliche Öffnungszeiten</v>
      </c>
      <c r="C42" s="215"/>
    </row>
    <row r="43" spans="1:3" x14ac:dyDescent="0.35">
      <c r="A43" s="4">
        <v>40</v>
      </c>
      <c r="B43" s="116" t="str">
        <f ca="1">Questions!F43</f>
        <v>Tarifauszeichnung</v>
      </c>
      <c r="C43" s="215"/>
    </row>
    <row r="44" spans="1:3" x14ac:dyDescent="0.35">
      <c r="A44" s="4">
        <v>41</v>
      </c>
      <c r="B44" s="116" t="str">
        <f ca="1">Questions!F44</f>
        <v>Lesbarkeit der Tarifauszeichnung</v>
      </c>
      <c r="C44" s="215"/>
    </row>
    <row r="45" spans="1:3" x14ac:dyDescent="0.35">
      <c r="A45" s="4">
        <v>42</v>
      </c>
      <c r="B45" s="116" t="str">
        <f ca="1">Questions!F45</f>
        <v>Gestaltung des Ein-/Ausfahrtsbereiches</v>
      </c>
      <c r="C45" s="215"/>
    </row>
    <row r="46" spans="1:3" x14ac:dyDescent="0.35">
      <c r="A46" s="4">
        <v>43</v>
      </c>
      <c r="B46" s="116" t="str">
        <f ca="1">Questions!F46</f>
        <v>Einfahrt: Gute Erreichbarkeit des Ticketgebers:</v>
      </c>
      <c r="C46" s="215"/>
    </row>
    <row r="47" spans="1:3" x14ac:dyDescent="0.35">
      <c r="A47" s="4">
        <v>44</v>
      </c>
      <c r="B47" s="116" t="str">
        <f ca="1">Questions!F47</f>
        <v>Ausfahrt: Gute Erreichbarkeit des Ticketlesers:</v>
      </c>
      <c r="C47" s="215"/>
    </row>
    <row r="48" spans="1:3" x14ac:dyDescent="0.35">
      <c r="A48" s="4">
        <v>45</v>
      </c>
      <c r="B48" s="116" t="str">
        <f ca="1">Questions!F48</f>
        <v>Längsneigung bei den Ein- / Ausfahrtsterminals</v>
      </c>
      <c r="C48" s="215"/>
    </row>
    <row r="49" spans="1:3" ht="58" x14ac:dyDescent="0.35">
      <c r="A49" s="4">
        <v>46</v>
      </c>
      <c r="B49" s="116" t="str">
        <f ca="1">Questions!F49</f>
        <v>Einfahrt:
• 0 - 2% (Fahrzeug bewegt sich ungebremst nicht) = 1
• 2 - 5% = 0
• Über 5% = -1</v>
      </c>
      <c r="C49" s="215"/>
    </row>
    <row r="50" spans="1:3" ht="58" x14ac:dyDescent="0.35">
      <c r="A50" s="4">
        <v>47</v>
      </c>
      <c r="B50" s="116" t="str">
        <f ca="1">Questions!F50</f>
        <v>Ausfahrt:
• 0 - 2% (Fahrzeug bewegt sich ungebremst nicht) = 1
• 2 - 5% = 0
• Über 5% = -1</v>
      </c>
      <c r="C50" s="215"/>
    </row>
    <row r="51" spans="1:3" ht="29" x14ac:dyDescent="0.35">
      <c r="A51" s="4">
        <v>48</v>
      </c>
      <c r="B51" s="116" t="str">
        <f ca="1">Questions!F51</f>
        <v>Design der Schrammborde, um Schaden an den Fahrzeugrädern zu verhindern:
(Ja = 2, kein Schutz = 0, keine Schrammborde in Ein-/Ausfahrt = 2)</v>
      </c>
      <c r="C51" s="215"/>
    </row>
    <row r="52" spans="1:3" ht="29" x14ac:dyDescent="0.35">
      <c r="A52" s="4">
        <v>49</v>
      </c>
      <c r="B52" s="116" t="str">
        <f ca="1">Questions!F52</f>
        <v>Rutschfeste Oberfläche in der Ein- und Ausfahrt: (vorhanden = 1, Rutschgefahr bei Nässe= 0)</v>
      </c>
      <c r="C52" s="215"/>
    </row>
    <row r="53" spans="1:3" x14ac:dyDescent="0.35">
      <c r="A53" s="4">
        <v>50</v>
      </c>
      <c r="B53" s="116" t="str">
        <f ca="1">Questions!F53</f>
        <v>Zufahrtskontrolle</v>
      </c>
      <c r="C53" s="215"/>
    </row>
    <row r="54" spans="1:3" x14ac:dyDescent="0.35">
      <c r="A54" s="4">
        <v>51</v>
      </c>
      <c r="B54" s="116" t="str">
        <f ca="1">Questions!F54</f>
        <v>Schranken</v>
      </c>
      <c r="C54" s="215"/>
    </row>
    <row r="55" spans="1:3" x14ac:dyDescent="0.35">
      <c r="A55" s="4">
        <v>52</v>
      </c>
      <c r="B55" s="116" t="str">
        <f ca="1">Questions!F55</f>
        <v>Sprechstelle</v>
      </c>
      <c r="C55" s="215"/>
    </row>
    <row r="56" spans="1:3" x14ac:dyDescent="0.35">
      <c r="A56" s="4">
        <v>53</v>
      </c>
      <c r="B56" s="116" t="str">
        <f ca="1">Questions!F56</f>
        <v>Videoüberwachung</v>
      </c>
      <c r="C56" s="215"/>
    </row>
    <row r="57" spans="1:3" x14ac:dyDescent="0.35">
      <c r="A57" s="4">
        <v>54</v>
      </c>
      <c r="B57" s="116" t="str">
        <f ca="1">Questions!F57</f>
        <v>Kennzeichenerkennung</v>
      </c>
      <c r="C57" s="215"/>
    </row>
    <row r="58" spans="1:3" x14ac:dyDescent="0.35">
      <c r="A58" s="4">
        <v>55</v>
      </c>
      <c r="B58" s="116" t="str">
        <f ca="1">Questions!F58</f>
        <v>Schnelllauftore</v>
      </c>
      <c r="C58" s="215"/>
    </row>
    <row r="59" spans="1:3" x14ac:dyDescent="0.35">
      <c r="A59" s="4">
        <v>56</v>
      </c>
      <c r="B59" s="116" t="str">
        <f ca="1">Questions!F59</f>
        <v>Personal vor Ort (Ein- oder Ausfahrt)</v>
      </c>
      <c r="C59" s="215"/>
    </row>
    <row r="60" spans="1:3" ht="29" x14ac:dyDescent="0.35">
      <c r="A60" s="4">
        <v>57</v>
      </c>
      <c r="B60" s="116" t="str">
        <f ca="1">Questions!F60</f>
        <v>Ausfahrtsschranke öffnet automatisch, wenn mittels Kennzeichenerkennung ein bezahltes Ticket erkannt wird: ja = 2, nein = 0</v>
      </c>
      <c r="C60" s="215"/>
    </row>
    <row r="61" spans="1:3" ht="29" x14ac:dyDescent="0.35">
      <c r="A61" s="4">
        <v>58</v>
      </c>
      <c r="B61" s="116" t="str">
        <f ca="1">Questions!F61</f>
        <v>Ein- / Ausfahrtsbreiten: Durchfahrtsbreite zwischen Bauteilen/Schrammborden pro Spur (&lt; 3 m = 0; 3 - 3,30 m = 1; &gt; 3,30 m = 2)</v>
      </c>
      <c r="C61" s="215"/>
    </row>
    <row r="62" spans="1:3" ht="29" x14ac:dyDescent="0.35">
      <c r="A62" s="4">
        <v>59</v>
      </c>
      <c r="B62" s="116" t="str">
        <f ca="1">Questions!F62</f>
        <v>Ausfahrt: Ausfahrtsspur endet mindestens 5 m vor Querverkehr (Fußgänger, Radfahrer):</v>
      </c>
      <c r="C62" s="215"/>
    </row>
    <row r="63" spans="1:3" x14ac:dyDescent="0.35">
      <c r="A63" s="4">
        <v>60</v>
      </c>
      <c r="B63" s="116" t="str">
        <f ca="1">Questions!F63</f>
        <v>Parkbereich</v>
      </c>
      <c r="C63" s="215"/>
    </row>
    <row r="64" spans="1:3" ht="72.5" x14ac:dyDescent="0.35">
      <c r="A64" s="4">
        <v>61</v>
      </c>
      <c r="B64" s="116" t="str">
        <f ca="1">Questions!F64</f>
        <v xml:space="preserve">Position der Säulen bei mindestens 85% der Stellplätze:
• ragen nicht in die Stellplätze = 8 
• im vorderen Bereich der Stellplätze = 0
• in der Nähe der Fahrzeugtüren = 0
• im hinteren Bereich der Stellplätze, aber ragen in die Stellplätze = 4 </v>
      </c>
      <c r="C64" s="215"/>
    </row>
    <row r="65" spans="1:3" ht="29" x14ac:dyDescent="0.35">
      <c r="A65" s="4">
        <v>62</v>
      </c>
      <c r="B65" s="116" t="str">
        <f ca="1">Questions!F65</f>
        <v>Anfahrschutz an den Säulen: gute Qualität = 2; Standard = 1; keine = 0; irrelevant = 2)</v>
      </c>
      <c r="C65" s="215"/>
    </row>
    <row r="66" spans="1:3" ht="29" x14ac:dyDescent="0.35">
      <c r="A66" s="4">
        <v>63</v>
      </c>
      <c r="B66" s="116" t="str">
        <f ca="1">Questions!F66</f>
        <v>Übersichtlichkeit (viele / wenige tote Winkel, Zwischenwände, etc.) Gut = 4; Mittel = 2; Schlecht = 0</v>
      </c>
      <c r="C66" s="215"/>
    </row>
    <row r="67" spans="1:3" x14ac:dyDescent="0.35">
      <c r="A67" s="4">
        <v>64</v>
      </c>
      <c r="B67" s="116" t="str">
        <f ca="1">Questions!F67</f>
        <v>Beschilderung</v>
      </c>
      <c r="C67" s="215"/>
    </row>
    <row r="68" spans="1:3" x14ac:dyDescent="0.35">
      <c r="A68" s="4">
        <v>65</v>
      </c>
      <c r="B68" s="116" t="str">
        <f ca="1">Questions!F68</f>
        <v>Beschilderung für Autofahrer</v>
      </c>
      <c r="C68" s="215"/>
    </row>
    <row r="69" spans="1:3" x14ac:dyDescent="0.35">
      <c r="A69" s="4">
        <v>66</v>
      </c>
      <c r="B69" s="116" t="str">
        <f ca="1">Questions!F69</f>
        <v>Entsprechen die Schilder dem nationalen Verkehrsrecht</v>
      </c>
      <c r="C69" s="215"/>
    </row>
    <row r="70" spans="1:3" x14ac:dyDescent="0.35">
      <c r="A70" s="4">
        <v>67</v>
      </c>
      <c r="B70" s="116" t="str">
        <f ca="1">Questions!F70</f>
        <v>Wegführung und Richtungsanzeigen: Ist die Beschilderung sauber, vollständig und eindeutig?</v>
      </c>
      <c r="C70" s="215"/>
    </row>
    <row r="71" spans="1:3" x14ac:dyDescent="0.35">
      <c r="A71" s="4">
        <v>68</v>
      </c>
      <c r="B71" s="116" t="str">
        <f ca="1">Questions!F71</f>
        <v>Vollständig?</v>
      </c>
      <c r="C71" s="215"/>
    </row>
    <row r="72" spans="1:3" x14ac:dyDescent="0.35">
      <c r="A72" s="4">
        <v>69</v>
      </c>
      <c r="B72" s="116" t="str">
        <f ca="1">Questions!F72</f>
        <v>Gut erkennbar?</v>
      </c>
      <c r="C72" s="215"/>
    </row>
    <row r="73" spans="1:3" x14ac:dyDescent="0.35">
      <c r="A73" s="4">
        <v>70</v>
      </c>
      <c r="B73" s="116" t="str">
        <f ca="1">Questions!F73</f>
        <v>Eindeutig?</v>
      </c>
      <c r="C73" s="215"/>
    </row>
    <row r="74" spans="1:3" x14ac:dyDescent="0.35">
      <c r="A74" s="4">
        <v>71</v>
      </c>
      <c r="B74" s="116" t="str">
        <f ca="1">Questions!F74</f>
        <v>Ausfahrts- / Ausgangsbeschilderung: Ist die Beschilderung sauber, vollständig und eindeutig?</v>
      </c>
      <c r="C74" s="215"/>
    </row>
    <row r="75" spans="1:3" x14ac:dyDescent="0.35">
      <c r="A75" s="4">
        <v>72</v>
      </c>
      <c r="B75" s="116" t="str">
        <f ca="1">Questions!F75</f>
        <v>Vollständig?</v>
      </c>
      <c r="C75" s="215"/>
    </row>
    <row r="76" spans="1:3" x14ac:dyDescent="0.35">
      <c r="A76" s="4">
        <v>73</v>
      </c>
      <c r="B76" s="116" t="str">
        <f ca="1">Questions!F76</f>
        <v>Gut erkennbar?</v>
      </c>
      <c r="C76" s="215"/>
    </row>
    <row r="77" spans="1:3" x14ac:dyDescent="0.35">
      <c r="A77" s="4">
        <v>74</v>
      </c>
      <c r="B77" s="116" t="str">
        <f ca="1">Questions!F77</f>
        <v>Eindeutig?</v>
      </c>
      <c r="C77" s="215"/>
    </row>
    <row r="78" spans="1:3" x14ac:dyDescent="0.35">
      <c r="A78" s="4">
        <v>75</v>
      </c>
      <c r="B78" s="116" t="str">
        <f ca="1">Questions!F78</f>
        <v>Stellplatzmarkierung</v>
      </c>
      <c r="C78" s="215"/>
    </row>
    <row r="79" spans="1:3" x14ac:dyDescent="0.35">
      <c r="A79" s="4">
        <v>76</v>
      </c>
      <c r="B79" s="116" t="str">
        <f ca="1">Questions!F79</f>
        <v>Sind die Stellplätze deutlich gekennzeichnet?</v>
      </c>
      <c r="C79" s="215"/>
    </row>
    <row r="80" spans="1:3" x14ac:dyDescent="0.35">
      <c r="A80" s="4">
        <v>77</v>
      </c>
      <c r="B80" s="116" t="str">
        <f ca="1">Questions!F80</f>
        <v>Wird die Stellplatzmarkierung an der Wand zur Unterstützung des Fahrers fortgeführt?</v>
      </c>
      <c r="C80" s="215"/>
    </row>
    <row r="81" spans="1:3" x14ac:dyDescent="0.35">
      <c r="A81" s="4">
        <v>78</v>
      </c>
      <c r="B81" s="116" t="str">
        <f ca="1">Questions!F81</f>
        <v>Sind die Fahrbahnmarkierungen</v>
      </c>
      <c r="C81" s="215"/>
    </row>
    <row r="82" spans="1:3" x14ac:dyDescent="0.35">
      <c r="A82" s="4">
        <v>79</v>
      </c>
      <c r="B82" s="116" t="str">
        <f ca="1">Questions!F82</f>
        <v>Vollständig?</v>
      </c>
      <c r="C82" s="215"/>
    </row>
    <row r="83" spans="1:3" x14ac:dyDescent="0.35">
      <c r="A83" s="4">
        <v>80</v>
      </c>
      <c r="B83" s="116" t="str">
        <f ca="1">Questions!F83</f>
        <v>Gut erkennbar?</v>
      </c>
      <c r="C83" s="215"/>
    </row>
    <row r="84" spans="1:3" x14ac:dyDescent="0.35">
      <c r="A84" s="4">
        <v>81</v>
      </c>
      <c r="B84" s="116" t="str">
        <f ca="1">Questions!F84</f>
        <v>Eindeutig?</v>
      </c>
      <c r="C84" s="215"/>
    </row>
    <row r="85" spans="1:3" x14ac:dyDescent="0.35">
      <c r="A85" s="4">
        <v>82</v>
      </c>
      <c r="B85" s="116" t="str">
        <f ca="1">Questions!F85</f>
        <v>Stellplätze für Personen mit Einschränkungen</v>
      </c>
      <c r="C85" s="215"/>
    </row>
    <row r="86" spans="1:3" ht="29" x14ac:dyDescent="0.35">
      <c r="A86" s="4">
        <v>83</v>
      </c>
      <c r="B86" s="116" t="str">
        <f ca="1">Questions!F86</f>
        <v>Angabe von Stellplätzen mit barrierefreiem Zugang an der Einfahrt:</v>
      </c>
      <c r="C86" s="215"/>
    </row>
    <row r="87" spans="1:3" x14ac:dyDescent="0.35">
      <c r="A87" s="4">
        <v>84</v>
      </c>
      <c r="B87" s="116" t="str">
        <f ca="1">Questions!F87</f>
        <v>Barrierefreier Zugang?</v>
      </c>
      <c r="C87" s="215"/>
    </row>
    <row r="88" spans="1:3" x14ac:dyDescent="0.35">
      <c r="A88" s="4">
        <v>85</v>
      </c>
      <c r="B88" s="116" t="str">
        <f ca="1">Questions!F88</f>
        <v>Mindeststellplatzbreite: 3,50 m?</v>
      </c>
      <c r="C88" s="215"/>
    </row>
    <row r="89" spans="1:3" x14ac:dyDescent="0.35">
      <c r="A89" s="4">
        <v>86</v>
      </c>
      <c r="B89" s="116" t="str">
        <f ca="1">Questions!F89</f>
        <v>Nahe zum Fußgängerausgang?</v>
      </c>
      <c r="C89" s="215"/>
    </row>
    <row r="90" spans="1:3" x14ac:dyDescent="0.35">
      <c r="A90" s="4">
        <v>87</v>
      </c>
      <c r="B90" s="116" t="str">
        <f ca="1">Questions!F90</f>
        <v>Hinweisbeschilderung zu Stellplätzen für Personen mit Einschränkungen?</v>
      </c>
      <c r="C90" s="215"/>
    </row>
    <row r="91" spans="1:3" ht="29" x14ac:dyDescent="0.35">
      <c r="A91" s="4">
        <v>88</v>
      </c>
      <c r="B91" s="116" t="str">
        <f ca="1">Questions!F91</f>
        <v>Einstellwinkel bei mindestens 85% der Stellplätze:  (76° - 90° = 0; 45° - 75° = 2)</v>
      </c>
      <c r="C91" s="215"/>
    </row>
    <row r="92" spans="1:3" ht="101.5" x14ac:dyDescent="0.35">
      <c r="A92" s="4">
        <v>89</v>
      </c>
      <c r="B92" s="116" t="str">
        <f ca="1">Questions!F92</f>
        <v>Stellplatzbreite  (85 % der Stellplätze), A or B: 
A: Einstellwinkel 76° - 90°
(2,25m = -5; 2,30m = 0; 2,35m = 2; 2,40m = 4; 2,45m = 6; 2,50m = 8) 
B: Einstellwinkel 45° - 75°
(2,25m = -5; 2,30m = 1; 2,35m = 3; 2,40m = 5; 2,45m = 8)
Breite von 2,25m nur für renovierte Betriebe, neue Betrieben müssen mindestens 2,30m aufweisen.</v>
      </c>
      <c r="C92" s="215"/>
    </row>
    <row r="93" spans="1:3" ht="261" x14ac:dyDescent="0.35">
      <c r="A93" s="4">
        <v>90</v>
      </c>
      <c r="B93" s="116" t="str">
        <f ca="1">Questions!F93</f>
        <v>Fahrbahnbreite bei Einbahnbetrieb und zwei Stellplatzreihen, abhängig von Einstellwinkel und Stellplatzbreite: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Die oben genannten Breiten qualifizieren für 3 Punkte. 
Bis 0,30 m unter den o.a. Werten: 2 Punkte
Bis 0,60 m unter den o.a. Werten: 1 Punkt
Mehr als 0,60 m unter den o.a. Werten: 0 Punkte</v>
      </c>
      <c r="C93" s="215"/>
    </row>
    <row r="94" spans="1:3" ht="29" x14ac:dyDescent="0.35">
      <c r="A94" s="4">
        <v>91</v>
      </c>
      <c r="B94" s="116" t="str">
        <f ca="1">Questions!F94</f>
        <v>Design der Schrammborde, um Schaden an den Fahrzeugrädern zu verhindern:
(Ja = 2, kein Schutz = 0, keine Schrammborde = 2)</v>
      </c>
      <c r="C94" s="215"/>
    </row>
    <row r="95" spans="1:3" x14ac:dyDescent="0.35">
      <c r="A95" s="4">
        <v>92</v>
      </c>
      <c r="B95" s="116" t="str">
        <f ca="1">Questions!F95</f>
        <v>Auf-/Abfahrtsrampen</v>
      </c>
      <c r="C95" s="215"/>
    </row>
    <row r="96" spans="1:3" x14ac:dyDescent="0.35">
      <c r="A96" s="4">
        <v>93</v>
      </c>
      <c r="B96" s="116" t="str">
        <f ca="1">Questions!F96</f>
        <v>Eingeschossiger Betrieb ohne Rampen?</v>
      </c>
      <c r="C96" s="215"/>
    </row>
    <row r="97" spans="1:3" x14ac:dyDescent="0.35">
      <c r="A97" s="4">
        <v>94</v>
      </c>
      <c r="B97" s="118" t="str">
        <f ca="1">Questions!F97</f>
        <v>Bodenbelag der Rampen (rutschhemmend = 1; Glatt = 0; keine Rampe = 1)</v>
      </c>
      <c r="C97" s="215"/>
    </row>
    <row r="98" spans="1:3" ht="25" x14ac:dyDescent="0.35">
      <c r="A98" s="4">
        <v>95</v>
      </c>
      <c r="B98" s="118" t="str">
        <f ca="1">Questions!F98</f>
        <v>Gefälle der Verbindungsrampen (keine Parkrampen)
•  &lt; 10 % = 3; 10 - 15 % = 1; &gt; 15 % = 0; keine Rampe = 3</v>
      </c>
      <c r="C98" s="215"/>
    </row>
    <row r="99" spans="1:3" x14ac:dyDescent="0.35">
      <c r="A99" s="4">
        <v>96</v>
      </c>
      <c r="B99" s="118" t="str">
        <f ca="1">Questions!F99</f>
        <v>Rampenbreite (zwischen Schrammborden) gemessen am engsten Punkt</v>
      </c>
      <c r="C99" s="215"/>
    </row>
    <row r="100" spans="1:3" x14ac:dyDescent="0.35">
      <c r="A100" s="4">
        <v>97</v>
      </c>
      <c r="B100" s="118" t="str">
        <f ca="1">Questions!F100</f>
        <v>Geschwungene Rampen müssen 1 m breiter sein für dieselbe Punkteanzahl. Gibt es Schrammborde?</v>
      </c>
      <c r="C100" s="215"/>
    </row>
    <row r="101" spans="1:3" x14ac:dyDescent="0.35">
      <c r="A101" s="4">
        <v>98</v>
      </c>
      <c r="B101" s="122" t="str">
        <f ca="1">Questions!F101</f>
        <v>Bitte Breite auswählen. &lt; 3,00 m = 0; 3,00 - 3,30 m = 1; &gt; 3,30 m = 3; keine Rampe = 3</v>
      </c>
      <c r="C101" s="215"/>
    </row>
    <row r="102" spans="1:3" x14ac:dyDescent="0.35">
      <c r="A102" s="4">
        <v>99</v>
      </c>
      <c r="B102" s="118" t="str">
        <f ca="1">Questions!F102</f>
        <v>Bitte Breite auswählen. &lt; 4,00 m = 0; 4,00 - 4,30 m = 1; &gt; 4,30 m; keine Rampe = 3</v>
      </c>
      <c r="C102" s="215"/>
    </row>
    <row r="103" spans="1:3" ht="37.5" x14ac:dyDescent="0.35">
      <c r="A103" s="4">
        <v>100</v>
      </c>
      <c r="B103" s="118" t="str">
        <f ca="1">Questions!F103</f>
        <v>Radius der Rampe (Außenradius) bei geschwungenen Rampen
• &lt; 9,00 m = 0; 9,00 - 10,00 m = 1; &gt; 10,00 m = 2; keine Rampe = 2
Bei Rampen mit Gegenverkehr gilt die innere Fahrspur</v>
      </c>
      <c r="C103" s="215"/>
    </row>
    <row r="104" spans="1:3" ht="25" x14ac:dyDescent="0.35">
      <c r="A104" s="4">
        <v>101</v>
      </c>
      <c r="B104" s="118" t="str">
        <f ca="1">Questions!F104</f>
        <v>Eingangskurve zu geraden Rampen
•  &lt; 7,50 m = 0; 7,50 – 9,00 m = 1; &gt; 9,00 m = 2; keine Rampe = 2</v>
      </c>
      <c r="C104" s="215"/>
    </row>
    <row r="105" spans="1:3" ht="29" x14ac:dyDescent="0.35">
      <c r="A105" s="4">
        <v>102</v>
      </c>
      <c r="B105" s="116" t="str">
        <f ca="1">Questions!F105</f>
        <v>Parkebene mit Gefälle (Längsneigung)
•  &lt; 5% = 3; 5% - 7% = 1; &gt; 7% = 0; kein Gefälle = 3</v>
      </c>
      <c r="C105" s="215"/>
    </row>
    <row r="106" spans="1:3" x14ac:dyDescent="0.35">
      <c r="A106" s="4">
        <v>103</v>
      </c>
      <c r="B106" s="116" t="str">
        <f ca="1">Questions!F106</f>
        <v>Fußgängerzugang</v>
      </c>
      <c r="C106" s="215"/>
    </row>
    <row r="107" spans="1:3" x14ac:dyDescent="0.35">
      <c r="A107" s="4">
        <v>104</v>
      </c>
      <c r="B107" s="116" t="str">
        <f ca="1">Questions!F107</f>
        <v>Eingeschossige und ebenerdige Parkeinrichtung? (kein unüberdachter Parkplatz)</v>
      </c>
      <c r="C107" s="215"/>
    </row>
    <row r="108" spans="1:3" x14ac:dyDescent="0.35">
      <c r="A108" s="4">
        <v>105</v>
      </c>
      <c r="B108" s="116" t="str">
        <f ca="1">Questions!F108</f>
        <v>Führen Aufzüge auf das Straßenniveau?</v>
      </c>
      <c r="C108" s="215"/>
    </row>
    <row r="109" spans="1:3" x14ac:dyDescent="0.35">
      <c r="A109" s="4">
        <v>106</v>
      </c>
      <c r="B109" s="116" t="str">
        <f ca="1">Questions!F109</f>
        <v>Sind die Fahrstühle das primäre Etagenverbindung? (Treppen nur sekundär oder als Fluchtwege)</v>
      </c>
      <c r="C109" s="215"/>
    </row>
    <row r="110" spans="1:3" ht="72.5" x14ac:dyDescent="0.35">
      <c r="A110" s="4">
        <v>107</v>
      </c>
      <c r="B110" s="116" t="str">
        <f ca="1">Questions!F110</f>
        <v>Kopffreiheit für Fußgänger - außer unter Türen
• &lt; 2,00m = 0
• 2,00m - 2,10m = 1
• 2,10m - 2,20m = 2
• &gt; 2,20m = 3</v>
      </c>
      <c r="C110" s="215"/>
    </row>
    <row r="111" spans="1:3" ht="29" x14ac:dyDescent="0.35">
      <c r="A111" s="4">
        <v>108</v>
      </c>
      <c r="B111" s="116" t="str">
        <f ca="1">Questions!F111</f>
        <v>Separat ausgewiesene Fußgängerwege (z.B. erhöht, Zebrastreifen, farbige Kennzeichnung) (ja = 2; nein = 0)</v>
      </c>
      <c r="C111" s="215"/>
    </row>
    <row r="112" spans="1:3" ht="29" x14ac:dyDescent="0.35">
      <c r="A112" s="4">
        <v>109</v>
      </c>
      <c r="B112" s="116" t="str">
        <f ca="1">Questions!F112</f>
        <v>Sind die Zugangstüren einfach zu bedienen? 
(ja, automatisch oder offen = 4; einfach zu öffnen = 2; nein = 0)</v>
      </c>
      <c r="C112" s="215"/>
    </row>
    <row r="113" spans="1:3" ht="29" x14ac:dyDescent="0.35">
      <c r="A113" s="4">
        <v>110</v>
      </c>
      <c r="B113" s="116" t="str">
        <f ca="1">Questions!F113</f>
        <v>Zutrittskontrolle per Ticket / Medium (ja = 1; nein = 0)</v>
      </c>
      <c r="C113" s="215"/>
    </row>
    <row r="114" spans="1:3" ht="29" x14ac:dyDescent="0.35">
      <c r="A114" s="4">
        <v>111</v>
      </c>
      <c r="B114" s="116" t="str">
        <f ca="1">Questions!F114</f>
        <v>Anzahl der Aufzüge auf Straßen-Niveau:
(1 Aufzug = 1; 2 oder mehr Aufzüge = 5)</v>
      </c>
      <c r="C114" s="215"/>
    </row>
    <row r="115" spans="1:3" ht="29" x14ac:dyDescent="0.35">
      <c r="A115" s="4">
        <v>112</v>
      </c>
      <c r="B115" s="116" t="str">
        <f ca="1">Questions!F115</f>
        <v>Größe der Aufzüge:
(Mehr als 8 Personen = 3; 4 - 8 Personen = 1; weniger als 4 = 0)</v>
      </c>
      <c r="C115" s="215"/>
    </row>
    <row r="116" spans="1:3" ht="29" x14ac:dyDescent="0.35">
      <c r="A116" s="4">
        <v>113</v>
      </c>
      <c r="B116" s="116" t="str">
        <f ca="1">Questions!F116</f>
        <v>Sichtverbindung zwischen dem Aufzug und Vorraum/Parkebene
(keine Sichtverbindung = 0; verglaste Türen / Wände = 3; kein Aufzug = 0)</v>
      </c>
      <c r="C116" s="215"/>
    </row>
    <row r="117" spans="1:3" x14ac:dyDescent="0.35">
      <c r="A117" s="4">
        <v>114</v>
      </c>
      <c r="B117" s="116" t="str">
        <f ca="1">Questions!F117</f>
        <v>Anzeige der Parkebenen:</v>
      </c>
      <c r="C117" s="215"/>
    </row>
    <row r="118" spans="1:3" x14ac:dyDescent="0.35">
      <c r="A118" s="4">
        <v>115</v>
      </c>
      <c r="B118" s="116" t="str">
        <f ca="1">Questions!F118</f>
        <v xml:space="preserve">im Aufzug: </v>
      </c>
      <c r="C118" s="215"/>
    </row>
    <row r="119" spans="1:3" x14ac:dyDescent="0.35">
      <c r="A119" s="4">
        <v>116</v>
      </c>
      <c r="B119" s="116" t="str">
        <f ca="1">Questions!F119</f>
        <v>im Vorraum zum Aufzug:</v>
      </c>
      <c r="C119" s="215"/>
    </row>
    <row r="120" spans="1:3" ht="29" x14ac:dyDescent="0.35">
      <c r="A120" s="4">
        <v>117</v>
      </c>
      <c r="B120" s="116" t="str">
        <f ca="1">Questions!F120</f>
        <v>Bedienelemente im Aufzug barrierefrei?
(ja = 1; nein = 0)</v>
      </c>
      <c r="C120" s="215"/>
    </row>
    <row r="121" spans="1:3" x14ac:dyDescent="0.35">
      <c r="A121" s="4">
        <v>118</v>
      </c>
      <c r="B121" s="116" t="str">
        <f ca="1">Questions!F121</f>
        <v>Verbindungstüren zum Parkbereich:</v>
      </c>
      <c r="C121" s="215"/>
    </row>
    <row r="122" spans="1:3" x14ac:dyDescent="0.35">
      <c r="A122" s="4">
        <v>119</v>
      </c>
      <c r="B122" s="116" t="str">
        <f ca="1">Questions!F122</f>
        <v>Lichte Breite (&lt; 90 cm =0; &gt;= 90 cm = 2)</v>
      </c>
      <c r="C122" s="215"/>
    </row>
    <row r="123" spans="1:3" x14ac:dyDescent="0.35">
      <c r="A123" s="4">
        <v>120</v>
      </c>
      <c r="B123" s="116" t="str">
        <f ca="1">Questions!F123</f>
        <v>Fluchttüren, generell offen (ja = 2; nein = 0)</v>
      </c>
      <c r="C123" s="215"/>
    </row>
    <row r="124" spans="1:3" x14ac:dyDescent="0.35">
      <c r="A124" s="4">
        <v>121</v>
      </c>
      <c r="B124" s="116" t="str">
        <f ca="1">Questions!F124</f>
        <v>Sichtverbindung (Glastüren / -wände = 3; kein Glas = 0)</v>
      </c>
      <c r="C124" s="215"/>
    </row>
    <row r="125" spans="1:3" x14ac:dyDescent="0.35">
      <c r="A125" s="4">
        <v>122</v>
      </c>
      <c r="B125" s="116" t="str">
        <f ca="1">Questions!F125</f>
        <v>Treppenhäuser (Sichtbarkeit und Orientierung)</v>
      </c>
      <c r="C125" s="215"/>
    </row>
    <row r="126" spans="1:3" x14ac:dyDescent="0.35">
      <c r="A126" s="4">
        <v>123</v>
      </c>
      <c r="B126" s="116" t="str">
        <f ca="1">Questions!F126</f>
        <v>Einfach Auffindbarkeit (ja = 1; nein = 0; irrelvant = 1)</v>
      </c>
      <c r="C126" s="215"/>
    </row>
    <row r="127" spans="1:3" x14ac:dyDescent="0.35">
      <c r="A127" s="4">
        <v>124</v>
      </c>
      <c r="B127" s="116" t="str">
        <f ca="1">Questions!F127</f>
        <v>Geschosskennzeichnung (ja = 1; nein = 0; unzutreffend = 1)</v>
      </c>
      <c r="C127" s="215"/>
    </row>
    <row r="128" spans="1:3" x14ac:dyDescent="0.35">
      <c r="A128" s="4">
        <v>125</v>
      </c>
      <c r="B128" s="116" t="str">
        <f ca="1">Questions!F128</f>
        <v>Treppen (inkl. verbesserter Sichtbarkeit der Treppenstufen)</v>
      </c>
      <c r="C128" s="215"/>
    </row>
    <row r="129" spans="1:3" x14ac:dyDescent="0.35">
      <c r="A129" s="4">
        <v>126</v>
      </c>
      <c r="B129" s="118" t="str">
        <f ca="1">Questions!F129</f>
        <v>Breite (&lt; 1,5 m = 0; &gt; 1,5 m = 2)</v>
      </c>
      <c r="C129" s="215"/>
    </row>
    <row r="130" spans="1:3" x14ac:dyDescent="0.35">
      <c r="A130" s="4">
        <v>127</v>
      </c>
      <c r="B130" s="118" t="str">
        <f ca="1">Questions!F130</f>
        <v>Handläufe (keine = 0; einseitig = 1; beidseitig = 2)</v>
      </c>
      <c r="C130" s="215"/>
    </row>
    <row r="131" spans="1:3" ht="28" x14ac:dyDescent="0.35">
      <c r="A131" s="4">
        <v>128</v>
      </c>
      <c r="B131" s="122" t="str">
        <f ca="1">Questions!F131</f>
        <v>Erhöhte Sichtbarkeit der Treppenstufen für Personen mit eingeschränkter Sehkraft (ja = 2; nein = 0)</v>
      </c>
      <c r="C131" s="215"/>
    </row>
    <row r="132" spans="1:3" x14ac:dyDescent="0.35">
      <c r="A132" s="4">
        <v>129</v>
      </c>
      <c r="B132" s="118" t="str">
        <f ca="1">Questions!F132</f>
        <v>Rutschfeste Beschichtung/Oberfläche der Treppenstufen (ja = 2; nein = 0)</v>
      </c>
      <c r="C132" s="215"/>
    </row>
    <row r="133" spans="1:3" ht="25" x14ac:dyDescent="0.35">
      <c r="A133" s="4">
        <v>130</v>
      </c>
      <c r="B133" s="118" t="str">
        <f ca="1">Questions!F133</f>
        <v>Öffnungen in den Treppenhauswänden (Fenster / Gitter nach außen oder zu den Parkebenen = 2; nein = 0)</v>
      </c>
      <c r="C133" s="215"/>
    </row>
    <row r="134" spans="1:3" x14ac:dyDescent="0.35">
      <c r="A134" s="4">
        <v>131</v>
      </c>
      <c r="B134" s="118" t="str">
        <f ca="1">Questions!F134</f>
        <v>Sicherheitsausstattung</v>
      </c>
      <c r="C134" s="215"/>
    </row>
    <row r="135" spans="1:3" x14ac:dyDescent="0.35">
      <c r="A135" s="4">
        <v>132</v>
      </c>
      <c r="B135" s="118" t="str">
        <f ca="1">Questions!F135</f>
        <v>Videoüberwachung mit Hinweis an den Eingängen = 3; keine Videoüberwachung = 0</v>
      </c>
      <c r="C135" s="215"/>
    </row>
    <row r="136" spans="1:3" ht="25" x14ac:dyDescent="0.35">
      <c r="A136" s="4">
        <v>133</v>
      </c>
      <c r="B136" s="118" t="str">
        <f ca="1">Questions!F136</f>
        <v>Kontrollpersonal (vor Ort oder per Fernüberwachung)
ja = 5; nein = 0</v>
      </c>
      <c r="C136" s="215"/>
    </row>
    <row r="137" spans="1:3" x14ac:dyDescent="0.35">
      <c r="A137" s="4">
        <v>134</v>
      </c>
      <c r="B137" s="118" t="str">
        <f ca="1">Questions!F137</f>
        <v xml:space="preserve">Videoüberwachung bei: </v>
      </c>
      <c r="C137" s="215"/>
    </row>
    <row r="138" spans="1:3" x14ac:dyDescent="0.35">
      <c r="A138" s="4">
        <v>135</v>
      </c>
      <c r="B138" s="116" t="str">
        <f ca="1">Questions!F138</f>
        <v>Einfahrt: ja = 1; nein = 0</v>
      </c>
      <c r="C138" s="215"/>
    </row>
    <row r="139" spans="1:3" x14ac:dyDescent="0.35">
      <c r="A139" s="4">
        <v>136</v>
      </c>
      <c r="B139" s="116" t="str">
        <f ca="1">Questions!F139</f>
        <v>Ausfahrt: ja = 1; nein = 0</v>
      </c>
      <c r="C139" s="215"/>
    </row>
    <row r="140" spans="1:3" x14ac:dyDescent="0.35">
      <c r="A140" s="4">
        <v>137</v>
      </c>
      <c r="B140" s="116" t="str">
        <f ca="1">Questions!F140</f>
        <v>Kassenautomaten: ja = 1; nein = 0</v>
      </c>
      <c r="C140" s="215"/>
    </row>
    <row r="141" spans="1:3" x14ac:dyDescent="0.35">
      <c r="A141" s="4">
        <v>138</v>
      </c>
      <c r="B141" s="116" t="str">
        <f ca="1">Questions!F141</f>
        <v>Aufzugsräume, jedes Ebene: ja = 1; nein = 0</v>
      </c>
      <c r="C141" s="215"/>
    </row>
    <row r="142" spans="1:3" x14ac:dyDescent="0.35">
      <c r="A142" s="4">
        <v>139</v>
      </c>
      <c r="B142" s="116" t="str">
        <f ca="1">Questions!F142</f>
        <v>Treppenhäuser, jede Ebene: ja = 1; nein = 0</v>
      </c>
      <c r="C142" s="215"/>
    </row>
    <row r="143" spans="1:3" x14ac:dyDescent="0.35">
      <c r="A143" s="4">
        <v>140</v>
      </c>
      <c r="B143" s="116" t="str">
        <f ca="1">Questions!F143</f>
        <v>Fußgängerzugang: ja = 1; nein = 0</v>
      </c>
      <c r="C143" s="215"/>
    </row>
    <row r="144" spans="1:3" x14ac:dyDescent="0.35">
      <c r="A144" s="4">
        <v>141</v>
      </c>
      <c r="B144" s="116" t="str">
        <f ca="1">Questions!F144</f>
        <v>Überwiegender Parkbereich (65%): ja = 3; nein = 0</v>
      </c>
      <c r="C144" s="215"/>
    </row>
    <row r="145" spans="1:3" x14ac:dyDescent="0.35">
      <c r="A145" s="4">
        <v>142</v>
      </c>
      <c r="B145" s="116" t="str">
        <f ca="1">Questions!F145</f>
        <v>Rampen: ja = 1; nein = 0</v>
      </c>
      <c r="C145" s="215"/>
    </row>
    <row r="146" spans="1:3" x14ac:dyDescent="0.35">
      <c r="A146" s="4">
        <v>143</v>
      </c>
      <c r="B146" s="116" t="str">
        <f ca="1">Questions!F146</f>
        <v>Kontaktaufnahme zu Personal via:</v>
      </c>
      <c r="C146" s="215"/>
    </row>
    <row r="147" spans="1:3" ht="29" x14ac:dyDescent="0.35">
      <c r="A147" s="4">
        <v>144</v>
      </c>
      <c r="B147" s="116" t="str">
        <f ca="1">Questions!F147</f>
        <v>Sprechstellen an den Kassenautomaten und/oder gesicherten Zugängen (24/7 = 3; zu den Öffnungszeiten (wenn nicht 24/7) = 2; teilweise/gar nicht = 0)</v>
      </c>
      <c r="C147" s="215"/>
    </row>
    <row r="148" spans="1:3" ht="29" x14ac:dyDescent="0.35">
      <c r="A148" s="4">
        <v>145</v>
      </c>
      <c r="B148" s="116" t="str">
        <f ca="1">Questions!F148</f>
        <v>Notrufsystem im Parkbereich (24/7 = 3; zu den Öffnungszeiten (wenn nicht 24/7) = 2; teilweise/gar nicht = 0)</v>
      </c>
      <c r="C148" s="215"/>
    </row>
    <row r="149" spans="1:3" ht="29" x14ac:dyDescent="0.35">
      <c r="A149" s="4">
        <v>146</v>
      </c>
      <c r="B149" s="116" t="str">
        <f ca="1">Questions!F149</f>
        <v>Ausgewiesenes Parkhauspersonal ist präsent und patroulliert durch die Parkeinrichtung (24/7 = 3; zu den Öffnungszeiten (wenn nicht 24/7) = 2; teilweise = 1; gar nicht = 0)</v>
      </c>
      <c r="C149" s="215"/>
    </row>
    <row r="150" spans="1:3" ht="58" x14ac:dyDescent="0.35">
      <c r="A150" s="4">
        <v>147</v>
      </c>
      <c r="B150" s="116" t="str">
        <f ca="1">Questions!F150</f>
        <v>Verschließbare Ein-/Ausfahrten:
(geschlossene Tore/Rollgitter außerhalb der Öffnungszeiten = 2; Schnelllauftore während der Öffnungszeiten = 4; langsam öffnende/schließende Tore während der Öffnungszeiten = 2; keine Sicherung = 0)</v>
      </c>
      <c r="C150" s="215"/>
    </row>
    <row r="151" spans="1:3" ht="43.5" x14ac:dyDescent="0.35">
      <c r="A151" s="4">
        <v>148</v>
      </c>
      <c r="B151" s="116" t="str">
        <f ca="1">Questions!F151</f>
        <v>Verschließbare Fußgängerzu-/ausgänge (außerhalb der Öffnungszeiten): (Türen, Tore oder Rollgitter mit Öffnungen &lt;= 15cm = 2; &gt; 15cm = 0; keine Sicherung = 0; irrelevant (24 Std.-Betrieb) = 4)</v>
      </c>
      <c r="C151" s="215"/>
    </row>
    <row r="152" spans="1:3" ht="43.5" x14ac:dyDescent="0.35">
      <c r="A152" s="4">
        <v>149</v>
      </c>
      <c r="B152" s="116" t="str">
        <f ca="1">Questions!F152</f>
        <v>Vergitterung von Öffnungen nach außen und Sicherheitsgitter (&lt;= 15cm = 2; &gt; 15cm oder keine Vorkehrung = 0; irrelevant (keine Öffnungen nach außen) = 2)</v>
      </c>
      <c r="C152" s="215"/>
    </row>
    <row r="153" spans="1:3" x14ac:dyDescent="0.35">
      <c r="A153" s="4">
        <v>150</v>
      </c>
      <c r="B153" s="116" t="e">
        <f>Questions!#REF!</f>
        <v>#REF!</v>
      </c>
      <c r="C153" s="215"/>
    </row>
    <row r="154" spans="1:3" x14ac:dyDescent="0.35">
      <c r="A154" s="4">
        <v>151</v>
      </c>
      <c r="B154" s="116" t="e">
        <f>Questions!#REF!</f>
        <v>#REF!</v>
      </c>
      <c r="C154" s="215"/>
    </row>
    <row r="155" spans="1:3" x14ac:dyDescent="0.35">
      <c r="A155" s="4">
        <v>152</v>
      </c>
      <c r="B155" s="116" t="e">
        <f>Questions!#REF!</f>
        <v>#REF!</v>
      </c>
      <c r="C155" s="215"/>
    </row>
    <row r="156" spans="1:3" x14ac:dyDescent="0.35">
      <c r="A156" s="4">
        <v>153</v>
      </c>
      <c r="B156" s="116" t="e">
        <f>Questions!#REF!</f>
        <v>#REF!</v>
      </c>
      <c r="C156" s="215"/>
    </row>
    <row r="157" spans="1:3" x14ac:dyDescent="0.35">
      <c r="A157" s="4">
        <v>154</v>
      </c>
      <c r="B157" s="116" t="e">
        <f>Questions!#REF!</f>
        <v>#REF!</v>
      </c>
      <c r="C157" s="215"/>
    </row>
    <row r="158" spans="1:3" x14ac:dyDescent="0.35">
      <c r="A158" s="4">
        <v>155</v>
      </c>
      <c r="B158" s="116" t="e">
        <f>Questions!#REF!</f>
        <v>#REF!</v>
      </c>
      <c r="C158" s="215"/>
    </row>
    <row r="159" spans="1:3" x14ac:dyDescent="0.35">
      <c r="A159" s="4">
        <v>156</v>
      </c>
      <c r="B159" s="116" t="e">
        <f>Questions!#REF!</f>
        <v>#REF!</v>
      </c>
      <c r="C159" s="215"/>
    </row>
    <row r="160" spans="1:3" x14ac:dyDescent="0.35">
      <c r="A160" s="4">
        <v>157</v>
      </c>
      <c r="B160" s="118" t="e">
        <f>Questions!#REF!</f>
        <v>#REF!</v>
      </c>
      <c r="C160" s="215"/>
    </row>
    <row r="161" spans="1:3" x14ac:dyDescent="0.35">
      <c r="A161" s="4">
        <v>158</v>
      </c>
      <c r="B161" s="118" t="e">
        <f>Questions!#REF!</f>
        <v>#REF!</v>
      </c>
      <c r="C161" s="215"/>
    </row>
    <row r="162" spans="1:3" x14ac:dyDescent="0.35">
      <c r="A162" s="4">
        <v>159</v>
      </c>
      <c r="B162" s="118" t="str">
        <f ca="1">Questions!F153</f>
        <v>Wegweisung innerhalb/außerhalb der Parkeinrichtung</v>
      </c>
      <c r="C162" s="215"/>
    </row>
    <row r="163" spans="1:3" x14ac:dyDescent="0.35">
      <c r="A163" s="4">
        <v>160</v>
      </c>
      <c r="B163" s="118" t="str">
        <f ca="1">Questions!F154</f>
        <v>Anzeige von freien Stellplätzen</v>
      </c>
      <c r="C163" s="215"/>
    </row>
    <row r="164" spans="1:3" x14ac:dyDescent="0.35">
      <c r="A164" s="4">
        <v>161</v>
      </c>
      <c r="B164" s="118" t="str">
        <f ca="1">Questions!F155</f>
        <v>etagenweise (ja/gut = 2; nein/schlecht = 0)</v>
      </c>
      <c r="C164" s="215"/>
    </row>
    <row r="165" spans="1:3" x14ac:dyDescent="0.35">
      <c r="A165" s="4">
        <v>162</v>
      </c>
      <c r="B165" s="118" t="str">
        <f ca="1">Questions!F156</f>
        <v>gassenweise (ja/gut = 2; nein/schlecht = 0)</v>
      </c>
      <c r="C165" s="215"/>
    </row>
    <row r="166" spans="1:3" x14ac:dyDescent="0.35">
      <c r="A166" s="4">
        <v>163</v>
      </c>
      <c r="B166" s="118" t="str">
        <f ca="1">Questions!F157</f>
        <v>Einzelstellplatzanzeige (ja/gut = 2; nein/schlecht = 0)</v>
      </c>
      <c r="C166" s="215"/>
    </row>
    <row r="167" spans="1:3" x14ac:dyDescent="0.35">
      <c r="A167" s="4">
        <v>164</v>
      </c>
      <c r="B167" s="118" t="str">
        <f ca="1">Questions!F158</f>
        <v>Verkehrsleitsystem (Fahrzeuge)</v>
      </c>
      <c r="C167" s="215"/>
    </row>
    <row r="168" spans="1:3" ht="25" x14ac:dyDescent="0.35">
      <c r="A168" s="4">
        <v>165</v>
      </c>
      <c r="B168" s="118" t="str">
        <f ca="1">Questions!F159</f>
        <v>Sind die Parkebenen für den Fahrer klar verständlich gekennzeichnet? (gut = 3; angemessen = 2; schlecht = 1; nein = 0)</v>
      </c>
      <c r="C168" s="215"/>
    </row>
    <row r="169" spans="1:3" ht="25" x14ac:dyDescent="0.35">
      <c r="A169" s="4">
        <v>166</v>
      </c>
      <c r="B169" s="118" t="str">
        <f ca="1">Questions!F160</f>
        <v>Gibt es auf (großen) Parkebenen durch Markierungen abgegrenzte Parkbereiche zur besseren Orientierung? Sind diese für den Fahrer klar verständlich?  (gut = 3; angemessen = 2; schlecht = 1; nein = 0)</v>
      </c>
      <c r="C169" s="215"/>
    </row>
    <row r="170" spans="1:3" ht="62.5" x14ac:dyDescent="0.35">
      <c r="A170" s="4">
        <v>167</v>
      </c>
      <c r="B170" s="118" t="str">
        <f ca="1">Questions!F161</f>
        <v>Sind die Notausgänge und Fluchtwege klar gekennzeichnet und sichtbar:
• von allen Punkten = 3
• an dem meisten Punkten = 2
• an einigen Punkten =1
• keine Anzeige =0)</v>
      </c>
      <c r="C170" s="215"/>
    </row>
    <row r="171" spans="1:3" ht="25" x14ac:dyDescent="0.35">
      <c r="A171" s="4">
        <v>168</v>
      </c>
      <c r="B171" s="118" t="str">
        <f ca="1">Questions!F162</f>
        <v>Sind die Ebenen deutlich gekennzeichnet? (gut = 3; angemessen = 2; schlecht = 1; nein = 0; nur eine Ebene: = 3)</v>
      </c>
      <c r="C171" s="215"/>
    </row>
    <row r="172" spans="1:3" ht="37.5" x14ac:dyDescent="0.35">
      <c r="A172" s="4">
        <v>169</v>
      </c>
      <c r="B172" s="118" t="str">
        <f ca="1">Questions!F163</f>
        <v>Gibt es zusätzliche Wegweiser für Fußgänger (gut = 2; teilweise = 1; keine = 0)</v>
      </c>
      <c r="C172" s="215"/>
    </row>
    <row r="173" spans="1:3" ht="25" x14ac:dyDescent="0.35">
      <c r="A173" s="4">
        <v>170</v>
      </c>
      <c r="B173" s="118" t="str">
        <f ca="1">Questions!F164</f>
        <v>Sind die Stellplätze einzeln nummeriert (nummeriert einschließlich Ebene = 2; nummeriert = 1; nein = 0)</v>
      </c>
      <c r="C173" s="215"/>
    </row>
    <row r="174" spans="1:3" ht="25" x14ac:dyDescent="0.35">
      <c r="A174" s="4">
        <v>171</v>
      </c>
      <c r="B174" s="118" t="str">
        <f ca="1">Questions!F165</f>
        <v>Verwendung von Farben zur besseren Orientierung (ja =1; nein = 0)</v>
      </c>
      <c r="C174" s="215"/>
    </row>
    <row r="175" spans="1:3" x14ac:dyDescent="0.35">
      <c r="A175" s="4">
        <v>172</v>
      </c>
      <c r="B175" s="118" t="str">
        <f ca="1">Questions!F166</f>
        <v>(Städtisches) Parkleitsystem</v>
      </c>
      <c r="C175" s="215"/>
    </row>
    <row r="176" spans="1:3" x14ac:dyDescent="0.35">
      <c r="A176" s="4">
        <v>173</v>
      </c>
      <c r="B176" s="118" t="str">
        <f ca="1">Questions!F167</f>
        <v>statisches Leitsystem (ja = 1; nein = 0)</v>
      </c>
      <c r="C176" s="215"/>
    </row>
    <row r="177" spans="1:3" x14ac:dyDescent="0.35">
      <c r="A177" s="4">
        <v>174</v>
      </c>
      <c r="B177" s="118" t="str">
        <f ca="1">Questions!F168</f>
        <v>zusätzliches dynamisches Leitsystem (freie Plätze = 2; Frei / Besetzt = 1; nein = 0)</v>
      </c>
      <c r="C177" s="215"/>
    </row>
    <row r="178" spans="1:3" x14ac:dyDescent="0.35">
      <c r="A178" s="4">
        <v>175</v>
      </c>
      <c r="B178" s="118" t="str">
        <f ca="1">Questions!F169</f>
        <v>Standort in Navigationssysteme integriert? (ja = 2; nein = 0)</v>
      </c>
      <c r="C178" s="215"/>
    </row>
    <row r="179" spans="1:3" x14ac:dyDescent="0.35">
      <c r="A179" s="4">
        <v>176</v>
      </c>
      <c r="B179" s="122" t="str">
        <f ca="1">Questions!F170</f>
        <v>Leuchtschilder an der Einfahrt</v>
      </c>
      <c r="C179" s="215"/>
    </row>
    <row r="180" spans="1:3" x14ac:dyDescent="0.35">
      <c r="A180" s="4">
        <v>177</v>
      </c>
      <c r="B180" s="118" t="str">
        <f ca="1">Questions!F171</f>
        <v>grüne Pfeile / rote Kreuze (ja = 1; nein = 0)</v>
      </c>
      <c r="C180" s="215"/>
    </row>
    <row r="181" spans="1:3" x14ac:dyDescent="0.35">
      <c r="A181" s="4">
        <v>178</v>
      </c>
      <c r="B181" s="118" t="str">
        <f ca="1">Questions!F172</f>
        <v>zusätzliches dynamisches Leitsystem (freie Plätze = 2; Frei / Besetzt = 1; nein = 0)</v>
      </c>
      <c r="C181" s="215"/>
    </row>
    <row r="182" spans="1:3" x14ac:dyDescent="0.35">
      <c r="A182" s="4">
        <v>179</v>
      </c>
      <c r="B182" s="118" t="str">
        <f ca="1">Questions!F173</f>
        <v>Beschilderung am Fußgängerzugang (ja = 1; nein = 0)</v>
      </c>
      <c r="C182" s="215"/>
    </row>
    <row r="183" spans="1:3" ht="25" x14ac:dyDescent="0.35">
      <c r="A183" s="4">
        <v>180</v>
      </c>
      <c r="B183" s="118" t="str">
        <f ca="1">Questions!F174</f>
        <v>Stadtplan an zentraler Stelle in der Parkeinrichtung:
(an jedem Ausgang = 2; an einer Stelle = 1; keiner = 0)</v>
      </c>
      <c r="C183" s="215"/>
    </row>
    <row r="184" spans="1:3" x14ac:dyDescent="0.35">
      <c r="A184" s="4">
        <v>181</v>
      </c>
      <c r="B184" s="118" t="str">
        <f ca="1">Questions!F175</f>
        <v>Informationen zu:</v>
      </c>
      <c r="C184" s="215"/>
    </row>
    <row r="185" spans="1:3" x14ac:dyDescent="0.35">
      <c r="A185" s="4">
        <v>182</v>
      </c>
      <c r="B185" s="118" t="str">
        <f ca="1">Questions!F176</f>
        <v>zu wichtigen Sehenswürdigkeiten in der Nähe der Parkeinrichtung an den Ausgängen (ja = 1; nein = 0)</v>
      </c>
      <c r="C185" s="215"/>
    </row>
    <row r="186" spans="1:3" x14ac:dyDescent="0.35">
      <c r="A186" s="4">
        <v>183</v>
      </c>
      <c r="B186" s="118" t="str">
        <f ca="1">Questions!F177</f>
        <v>zu den Fußgängerzugängen rund um die Parkeinrichtung (ja = 1; nein = 0)</v>
      </c>
      <c r="C186" s="215"/>
    </row>
    <row r="187" spans="1:3" x14ac:dyDescent="0.35">
      <c r="A187" s="4">
        <v>184</v>
      </c>
      <c r="B187" s="118" t="str">
        <f ca="1">Questions!F178</f>
        <v>Komfort und Verschiedenes</v>
      </c>
      <c r="C187" s="215"/>
    </row>
    <row r="188" spans="1:3" x14ac:dyDescent="0.35">
      <c r="A188" s="4">
        <v>185</v>
      </c>
      <c r="B188" s="118" t="str">
        <f ca="1">Questions!F179</f>
        <v>Hinweisbeschilderung an den Fußgängerzu-/ausgängen bzgl.:</v>
      </c>
      <c r="C188" s="215"/>
    </row>
    <row r="189" spans="1:3" x14ac:dyDescent="0.35">
      <c r="A189" s="4">
        <v>186</v>
      </c>
      <c r="B189" s="118" t="str">
        <f ca="1">Questions!F180</f>
        <v>normale/besondere Öffnungszeitene (ja = 1; nein = 0)</v>
      </c>
      <c r="C189" s="215"/>
    </row>
    <row r="190" spans="1:3" x14ac:dyDescent="0.35">
      <c r="A190" s="4">
        <v>187</v>
      </c>
      <c r="B190" s="118" t="str">
        <f ca="1">Questions!F181</f>
        <v>Lesbare und verständliche Tarifauszeichnung (ja = 1; nein = 0)</v>
      </c>
      <c r="C190" s="215"/>
    </row>
    <row r="191" spans="1:3" x14ac:dyDescent="0.35">
      <c r="A191" s="4">
        <v>188</v>
      </c>
      <c r="B191" s="118" t="str">
        <f ca="1">Questions!F182</f>
        <v>Geschäftsbedingungen des Betreibers (ja = 1; nein = 0)</v>
      </c>
      <c r="C191" s="215"/>
    </row>
    <row r="192" spans="1:3" x14ac:dyDescent="0.35">
      <c r="A192" s="4">
        <v>189</v>
      </c>
      <c r="B192" s="118" t="str">
        <f ca="1">Questions!F183</f>
        <v>Bezahlmöglichkeiten (Bezahlung an der Ausfahrt / am Kassenautomaten):</v>
      </c>
      <c r="C192" s="215"/>
    </row>
    <row r="193" spans="1:3" x14ac:dyDescent="0.35">
      <c r="A193" s="4">
        <v>190</v>
      </c>
      <c r="B193" s="118" t="str">
        <f ca="1">Questions!F184</f>
        <v>Bargeld (ja = 1; nein = 0)</v>
      </c>
      <c r="C193" s="215"/>
    </row>
    <row r="194" spans="1:3" x14ac:dyDescent="0.35">
      <c r="A194" s="4">
        <v>191</v>
      </c>
      <c r="B194" s="118" t="str">
        <f ca="1">Questions!F185</f>
        <v>Nationale Bankkarten (ja = 1; nein = 0)</v>
      </c>
      <c r="C194" s="215"/>
    </row>
    <row r="195" spans="1:3" x14ac:dyDescent="0.35">
      <c r="A195" s="4">
        <v>192</v>
      </c>
      <c r="B195" s="118" t="str">
        <f ca="1">Questions!F186</f>
        <v>Internationale Debit und Kreditkarten (ja = 1; nein = 0)</v>
      </c>
      <c r="C195" s="215"/>
    </row>
    <row r="196" spans="1:3" x14ac:dyDescent="0.35">
      <c r="A196" s="4">
        <v>193</v>
      </c>
      <c r="B196" s="118" t="str">
        <f ca="1">Questions!F187</f>
        <v>Bezahlung über Smartphone (ja = 1; nein = 0)</v>
      </c>
      <c r="C196" s="215"/>
    </row>
    <row r="197" spans="1:3" ht="25" x14ac:dyDescent="0.35">
      <c r="A197" s="4">
        <v>194</v>
      </c>
      <c r="B197" s="118" t="str">
        <f ca="1">Questions!F188</f>
        <v>andere Bezahlmöglichkeiten? Wie viele? (1 Punkt für jede zusätzliche Option, max. 3 Punkte)</v>
      </c>
      <c r="C197" s="215"/>
    </row>
    <row r="198" spans="1:3" x14ac:dyDescent="0.35">
      <c r="A198" s="4">
        <v>195</v>
      </c>
      <c r="B198" s="118" t="str">
        <f ca="1">Questions!F189</f>
        <v xml:space="preserve">Bezahlmöglichkeiten an der Ausfahrt: </v>
      </c>
      <c r="C198" s="215"/>
    </row>
    <row r="199" spans="1:3" x14ac:dyDescent="0.35">
      <c r="A199" s="4">
        <v>196</v>
      </c>
      <c r="B199" s="118" t="str">
        <f ca="1">Questions!F190</f>
        <v>Nationale Bankkarten (ja = 1; nein = 0)</v>
      </c>
      <c r="C199" s="215"/>
    </row>
    <row r="200" spans="1:3" x14ac:dyDescent="0.35">
      <c r="A200" s="4">
        <v>197</v>
      </c>
      <c r="B200" s="118" t="str">
        <f ca="1">Questions!F191</f>
        <v>Internationale Debit und Kreditkarten (ja = 1; nein = 0)</v>
      </c>
      <c r="C200" s="215"/>
    </row>
    <row r="201" spans="1:3" ht="25" x14ac:dyDescent="0.35">
      <c r="A201" s="4">
        <v>198</v>
      </c>
      <c r="B201" s="118" t="str">
        <f ca="1">Questions!F192</f>
        <v>Kennzeichenerkennung verbunden mit einem Kunden-/Bankkonto oder einer App (ja = 1; nein = 0)</v>
      </c>
      <c r="C201" s="215"/>
    </row>
    <row r="202" spans="1:3" x14ac:dyDescent="0.35">
      <c r="A202" s="4">
        <v>199</v>
      </c>
      <c r="B202" s="118" t="str">
        <f ca="1">Questions!F193</f>
        <v>RFID Einheit verbunden mit einem Kunden-/Bankkonto oder einer App (ja = 1; nein = 0)</v>
      </c>
      <c r="C202" s="215"/>
    </row>
    <row r="203" spans="1:3" ht="25" x14ac:dyDescent="0.35">
      <c r="A203" s="4">
        <v>200</v>
      </c>
      <c r="B203" s="118" t="str">
        <f ca="1">Questions!F194</f>
        <v>Akzeptanz eines nationalen allgemeinen Verkehrsdienstes (z.B. Mautsystem, Öffentlicher Verkehr) (ja = 1 ; nein = 0)</v>
      </c>
      <c r="C203" s="215"/>
    </row>
    <row r="204" spans="1:3" x14ac:dyDescent="0.35">
      <c r="A204" s="4">
        <v>201</v>
      </c>
      <c r="B204" s="118" t="str">
        <f ca="1">Questions!F195</f>
        <v>Bezahlung über Smartphone (ja = 1; nein = 0)</v>
      </c>
      <c r="C204" s="215"/>
    </row>
    <row r="205" spans="1:3" ht="37.5" x14ac:dyDescent="0.35">
      <c r="A205" s="4">
        <v>202</v>
      </c>
      <c r="B205" s="118" t="str">
        <f ca="1">Questions!F196</f>
        <v>Schrankenöffnung an der Einfahrt startet automatisch eine ticketlose Transaktion mit automatischer Bezahlung: Steuerung über App, angeschlossen an ein Bezahlmittel ja = 1, nein = 0; bei Einsatz einer Kennzeichenerkennung: 1 Punkt zusätzlich</v>
      </c>
      <c r="C205" s="215"/>
    </row>
    <row r="206" spans="1:3" x14ac:dyDescent="0.35">
      <c r="A206" s="4">
        <v>203</v>
      </c>
      <c r="B206" s="118" t="str">
        <f ca="1">Questions!F197</f>
        <v>Bezahlpunkte</v>
      </c>
      <c r="C206" s="215"/>
    </row>
    <row r="207" spans="1:3" x14ac:dyDescent="0.35">
      <c r="A207" s="4">
        <v>204</v>
      </c>
      <c r="B207" s="118" t="str">
        <f ca="1">Questions!F198</f>
        <v>Bewirtschaftung mit Parkscheinautomaten (Pay &amp; Display)?</v>
      </c>
      <c r="C207" s="215"/>
    </row>
    <row r="208" spans="1:3" ht="37.5" x14ac:dyDescent="0.35">
      <c r="A208" s="4">
        <v>205</v>
      </c>
      <c r="B208" s="118" t="str">
        <f ca="1">Questions!F199</f>
        <v>Anzahl der Bezahlmöglichkeiten in einer Parkeinrichtung mit Schrankenanlage (eine Bezahlmöglichkeit = 0; mehr als eine = 1; eine an jedem Zugang für Fußgänger außer Notausgänge = 2; mehr als einer an jedem Zugang für Fußgänger = 3)</v>
      </c>
      <c r="C208" s="215"/>
    </row>
    <row r="209" spans="1:3" ht="25" x14ac:dyDescent="0.35">
      <c r="A209" s="4">
        <v>206</v>
      </c>
      <c r="B209" s="118" t="str">
        <f ca="1">Questions!F200</f>
        <v>Anzahl der Bezahlmöglichkeien in einer Parkeinrichtung mit Parkscheinautomaten (1 = 0; &lt; 1 pro 50 Stellplätze = 2; &gt; 1 pro 50 Stellplätze = 3)</v>
      </c>
      <c r="C209" s="215"/>
    </row>
    <row r="210" spans="1:3" x14ac:dyDescent="0.35">
      <c r="A210" s="4">
        <v>207</v>
      </c>
      <c r="B210" s="118" t="str">
        <f ca="1">Questions!F201</f>
        <v>Kunden-WC:</v>
      </c>
      <c r="C210" s="215"/>
    </row>
    <row r="211" spans="1:3" x14ac:dyDescent="0.35">
      <c r="A211" s="4">
        <v>208</v>
      </c>
      <c r="B211" s="118" t="str">
        <f ca="1">Questions!F202</f>
        <v>Vorhanden (ja =2; nein = 0)</v>
      </c>
      <c r="C211" s="215"/>
    </row>
    <row r="212" spans="1:3" x14ac:dyDescent="0.35">
      <c r="A212" s="4">
        <v>209</v>
      </c>
      <c r="B212" s="118" t="str">
        <f ca="1">Questions!F203</f>
        <v>Barrierefreie Toilette (ja = 1; nein = 0)</v>
      </c>
      <c r="C212" s="215"/>
    </row>
    <row r="213" spans="1:3" x14ac:dyDescent="0.35">
      <c r="A213" s="4">
        <v>210</v>
      </c>
      <c r="B213" s="118" t="str">
        <f ca="1">Questions!F204</f>
        <v>genderneutrale Toilette = 0; Frauen / Männer getrennt = 1</v>
      </c>
      <c r="C213" s="215"/>
    </row>
    <row r="214" spans="1:3" x14ac:dyDescent="0.35">
      <c r="A214" s="4">
        <v>211</v>
      </c>
      <c r="B214" s="116" t="str">
        <f ca="1">Questions!F205</f>
        <v>Personalanwesenheit: ja = 1; nein = 0</v>
      </c>
      <c r="C214" s="215"/>
    </row>
    <row r="215" spans="1:3" x14ac:dyDescent="0.35">
      <c r="A215" s="4">
        <v>212</v>
      </c>
      <c r="B215" s="116" t="str">
        <f ca="1">Questions!F206</f>
        <v>Einsatz von Farben / Verschönerung</v>
      </c>
      <c r="C215" s="215"/>
    </row>
    <row r="216" spans="1:3" x14ac:dyDescent="0.35">
      <c r="A216" s="4">
        <v>213</v>
      </c>
      <c r="B216" s="116" t="str">
        <f ca="1">Questions!F207</f>
        <v>Farbige Säulen = 1; nein/betongrau = 0</v>
      </c>
      <c r="C216" s="215"/>
    </row>
    <row r="217" spans="1:3" x14ac:dyDescent="0.35">
      <c r="A217" s="4">
        <v>214</v>
      </c>
      <c r="B217" s="116" t="str">
        <f ca="1">Questions!F208</f>
        <v>Farbige Wände = 1; nein/betongrau = 0</v>
      </c>
      <c r="C217" s="215"/>
    </row>
    <row r="218" spans="1:3" x14ac:dyDescent="0.35">
      <c r="A218" s="4">
        <v>215</v>
      </c>
      <c r="B218" s="116" t="str">
        <f ca="1">Questions!F209</f>
        <v>Zusätzliche verschönernde Element:</v>
      </c>
      <c r="C218" s="215"/>
    </row>
    <row r="219" spans="1:3" x14ac:dyDescent="0.35">
      <c r="A219" s="4">
        <v>216</v>
      </c>
      <c r="B219" s="116" t="str">
        <f ca="1">Questions!F210</f>
        <v>Kunst (ja = 2; nein = 0)</v>
      </c>
      <c r="C219" s="215"/>
    </row>
    <row r="220" spans="1:3" x14ac:dyDescent="0.35">
      <c r="A220" s="4">
        <v>217</v>
      </c>
      <c r="B220" s="116" t="str">
        <f ca="1">Questions!F211</f>
        <v>Pflanzen (ja = 1; nein = 0)</v>
      </c>
      <c r="C220" s="215"/>
    </row>
    <row r="221" spans="1:3" x14ac:dyDescent="0.35">
      <c r="A221" s="4">
        <v>218</v>
      </c>
      <c r="B221" s="116" t="str">
        <f ca="1">Questions!F212</f>
        <v>sonstiges (ja = 1; nein =0)</v>
      </c>
      <c r="C221" s="215"/>
    </row>
    <row r="222" spans="1:3" x14ac:dyDescent="0.35">
      <c r="A222" s="4">
        <v>219</v>
      </c>
      <c r="B222" s="116" t="str">
        <f ca="1">Questions!F213</f>
        <v>Mobilfunkabdeckung (ja = 2; nein = 0)</v>
      </c>
      <c r="C222" s="215"/>
    </row>
    <row r="223" spans="1:3" x14ac:dyDescent="0.35">
      <c r="A223" s="4">
        <v>220</v>
      </c>
      <c r="B223" s="116" t="str">
        <f ca="1">Questions!F214</f>
        <v>Radioempfang (ja = 1; nein = 0)</v>
      </c>
      <c r="C223" s="215"/>
    </row>
    <row r="224" spans="1:3" x14ac:dyDescent="0.35">
      <c r="A224" s="4">
        <v>221</v>
      </c>
      <c r="B224" s="116" t="str">
        <f ca="1">Questions!F215</f>
        <v>Musik</v>
      </c>
      <c r="C224" s="215"/>
    </row>
    <row r="225" spans="1:3" x14ac:dyDescent="0.35">
      <c r="A225" s="4">
        <v>222</v>
      </c>
      <c r="B225" s="116" t="str">
        <f ca="1">Questions!F216</f>
        <v>Hintergrundmusik (ja = 2; nein = 0)</v>
      </c>
      <c r="C225" s="215"/>
    </row>
    <row r="226" spans="1:3" x14ac:dyDescent="0.35">
      <c r="A226" s="4">
        <v>223</v>
      </c>
      <c r="B226" s="116" t="str">
        <f ca="1">Questions!F217</f>
        <v>Differenzierung zur Orientierung (ja = 1; nein = 0)</v>
      </c>
      <c r="C226" s="215"/>
    </row>
    <row r="227" spans="1:3" x14ac:dyDescent="0.35">
      <c r="A227" s="4">
        <v>224</v>
      </c>
      <c r="B227" s="116" t="str">
        <f ca="1">Questions!F218</f>
        <v>Mülleimer</v>
      </c>
      <c r="C227" s="215"/>
    </row>
    <row r="228" spans="1:3" x14ac:dyDescent="0.35">
      <c r="A228" s="4">
        <v>225</v>
      </c>
      <c r="B228" s="116" t="str">
        <f ca="1">Questions!F219</f>
        <v>Mülleimer an den Fußgängerzugängen / Treppenhäusern (ja = 1; nein = 0)</v>
      </c>
      <c r="C228" s="215"/>
    </row>
    <row r="229" spans="1:3" x14ac:dyDescent="0.35">
      <c r="A229" s="4">
        <v>226</v>
      </c>
      <c r="B229" s="116" t="str">
        <f ca="1">Questions!F220</f>
        <v>Mülleimer in den Parkbereichen (&gt; 1 pro 100 stellplätze): ja = 1; nein = 0</v>
      </c>
      <c r="C229" s="215"/>
    </row>
    <row r="230" spans="1:3" x14ac:dyDescent="0.35">
      <c r="A230" s="4">
        <v>227</v>
      </c>
      <c r="B230" s="116" t="str">
        <f ca="1">Questions!F221</f>
        <v>Abholstation für lokale und Online-Einkäufe (ja = 1; nein = 0)</v>
      </c>
      <c r="C230" s="215"/>
    </row>
    <row r="231" spans="1:3" x14ac:dyDescent="0.35">
      <c r="A231" s="4">
        <v>228</v>
      </c>
      <c r="B231" s="116" t="str">
        <f ca="1">Questions!F222</f>
        <v>Energie und Umwelt</v>
      </c>
      <c r="C231" s="215"/>
    </row>
    <row r="232" spans="1:3" x14ac:dyDescent="0.35">
      <c r="A232" s="4">
        <v>229</v>
      </c>
      <c r="B232" s="116" t="str">
        <f ca="1">Questions!F223</f>
        <v>Energiesparende Beleuchtung</v>
      </c>
      <c r="C232" s="215"/>
    </row>
    <row r="233" spans="1:3" x14ac:dyDescent="0.35">
      <c r="A233" s="4">
        <v>230</v>
      </c>
      <c r="B233" s="116" t="str">
        <f ca="1">Questions!F224</f>
        <v>Elektronische Vorschaltgeräte (d.h. Leistungsfaktorkorrekturfilter (PFC)) (ja = 1; nein = 0)</v>
      </c>
      <c r="C233" s="215"/>
    </row>
    <row r="234" spans="1:3" x14ac:dyDescent="0.35">
      <c r="A234" s="4">
        <v>231</v>
      </c>
      <c r="B234" s="116" t="str">
        <f ca="1">Questions!F225</f>
        <v>Andere Systeme (ja = 1; nein = 0)</v>
      </c>
      <c r="C234" s="215"/>
    </row>
    <row r="235" spans="1:3" x14ac:dyDescent="0.35">
      <c r="A235" s="4">
        <v>232</v>
      </c>
      <c r="B235" s="116" t="str">
        <f ca="1">Questions!F226</f>
        <v>Bewegungsgesteuerte Beleuchtung (ja = 2; nein = 0)</v>
      </c>
      <c r="C235" s="215"/>
    </row>
    <row r="236" spans="1:3" ht="29" x14ac:dyDescent="0.35">
      <c r="A236" s="4">
        <v>233</v>
      </c>
      <c r="B236" s="116" t="str">
        <f ca="1">Questions!F227</f>
        <v>Adaptionsstrecke an der Einfahrt (Tageslichtkorrektur) (ja = 2; nein = 0)</v>
      </c>
      <c r="C236" s="215"/>
    </row>
    <row r="237" spans="1:3" ht="29" x14ac:dyDescent="0.35">
      <c r="A237" s="4">
        <v>234</v>
      </c>
      <c r="B237" s="116" t="str">
        <f ca="1">Questions!F228</f>
        <v>Tageslichtabhängige Beleuchtungssteuerung (bspw. Dämmerungsschaltung) (ja = 2; nein = 0; irrelevant (unterirdisch) = 2)</v>
      </c>
      <c r="C237" s="215"/>
    </row>
    <row r="238" spans="1:3" ht="29" x14ac:dyDescent="0.35">
      <c r="A238" s="4">
        <v>235</v>
      </c>
      <c r="B238" s="116" t="str">
        <f ca="1">Questions!F229</f>
        <v>Solarpanele auf dem Dach oder andere Green Energy Initiativen (ja = 2; nein = 0)</v>
      </c>
      <c r="C238" s="215"/>
    </row>
    <row r="239" spans="1:3" x14ac:dyDescent="0.35">
      <c r="A239" s="4">
        <v>236</v>
      </c>
      <c r="B239" s="116" t="str">
        <f ca="1">Questions!F230</f>
        <v>Spezielle Behandlung von Schmutzwasser (ja = 2; nein = 0)</v>
      </c>
      <c r="C239" s="215"/>
    </row>
    <row r="240" spans="1:3" x14ac:dyDescent="0.35">
      <c r="A240" s="4">
        <v>237</v>
      </c>
      <c r="B240" s="116" t="str">
        <f ca="1">Questions!F231</f>
        <v>(Wieder-)Verwendung von Grau-/Regenwasser (ja = 2; nein = 0)</v>
      </c>
      <c r="C240" s="215"/>
    </row>
    <row r="241" spans="1:3" x14ac:dyDescent="0.35">
      <c r="A241" s="4">
        <v>238</v>
      </c>
      <c r="B241" s="116" t="str">
        <f ca="1">Questions!F232</f>
        <v>Öffentliche Ladepunkte für elektrische Fahrzeuge</v>
      </c>
      <c r="C241" s="215"/>
    </row>
    <row r="242" spans="1:3" ht="29" x14ac:dyDescent="0.35">
      <c r="A242" s="4">
        <v>239</v>
      </c>
      <c r="B242" s="116" t="str">
        <f ca="1">Questions!F233</f>
        <v>Mehr als 10% der Stellplätze mit Ladepunkten ausgerüstet = 4; 5%-10% = 3; 2%-5% = 2; unter 2% = 1; keine = 0</v>
      </c>
      <c r="C242" s="215"/>
    </row>
    <row r="243" spans="1:3" ht="29" x14ac:dyDescent="0.35">
      <c r="A243" s="4">
        <v>240</v>
      </c>
      <c r="B243" s="116" t="str">
        <f ca="1">Questions!F234</f>
        <v>Durchschnittliche Kapazität pro Ladepunkt: &lt;4kW = 0; 4 - 10kW = 1; 10 - 20kW = 2; &gt;20kW = 3. Schnell-Lader &gt;50kW = 1 Zusatzpunkt</v>
      </c>
      <c r="C243" s="215"/>
    </row>
    <row r="244" spans="1:3" ht="29" x14ac:dyDescent="0.35">
      <c r="A244" s="4">
        <v>241</v>
      </c>
      <c r="B244" s="116" t="str">
        <f ca="1">Questions!F235</f>
        <v xml:space="preserve">Gesamte Kapazität pro 100 Stellplätze: &lt;50kW = 0; 50 - 100kW = 1; 100 - 200kW = 2; &gt;200 kW = 3 </v>
      </c>
      <c r="C244" s="215"/>
    </row>
    <row r="245" spans="1:3" ht="29" x14ac:dyDescent="0.35">
      <c r="A245" s="4">
        <v>242</v>
      </c>
      <c r="B245" s="116" t="str">
        <f ca="1">Questions!F236</f>
        <v>Ladepunkte in der Nähe der Einfahrt für die schnelle Erreichbarkeit durch Einsatzfahrzeuge im Brandfall (ja = 1; nein = 0)</v>
      </c>
      <c r="C245" s="215"/>
    </row>
    <row r="246" spans="1:3" ht="29" x14ac:dyDescent="0.35">
      <c r="A246" s="4">
        <v>243</v>
      </c>
      <c r="B246" s="116" t="str">
        <f ca="1">Questions!F237</f>
        <v>Reservierung eines Ladepunkts über ein integriertes Buchungssystem möglich (ja = 1; nein = 0)</v>
      </c>
      <c r="C246" s="215"/>
    </row>
    <row r="247" spans="1:3" x14ac:dyDescent="0.35">
      <c r="A247" s="4">
        <v>244</v>
      </c>
      <c r="B247" s="116" t="str">
        <f ca="1">Questions!F238</f>
        <v>Mobilitäts-Hubs</v>
      </c>
      <c r="C247" s="215"/>
    </row>
    <row r="248" spans="1:3" ht="29" x14ac:dyDescent="0.35">
      <c r="A248" s="4">
        <v>245</v>
      </c>
      <c r="B248" s="116" t="str">
        <f ca="1">Questions!F239</f>
        <v>Eigene Stellplätze für Car-Sharing Anbieter: &gt;10 Stellplätze = 3; 5 - 10 Stellplätze = 2; 1 - 5 Stellplätze = 1; keine = 0</v>
      </c>
      <c r="C248" s="215"/>
    </row>
    <row r="249" spans="1:3" x14ac:dyDescent="0.35">
      <c r="A249" s="4">
        <v>246</v>
      </c>
      <c r="B249" s="116" t="str">
        <f ca="1">Questions!F240</f>
        <v>Fahrzeugreinigung/-aufbereitung: 1 Punkt</v>
      </c>
      <c r="C249" s="215"/>
    </row>
    <row r="250" spans="1:3" ht="29" x14ac:dyDescent="0.35">
      <c r="A250" s="4">
        <v>247</v>
      </c>
      <c r="B250" s="116" t="str">
        <f ca="1">Questions!F241</f>
        <v>Station für Bike-Sharing und / oder E-Scooter, getrennt vom Parkbereich: &gt;10 Einheiten = 2; 1 - 10 Einheiten = 1; keine = 0</v>
      </c>
      <c r="C250" s="215"/>
    </row>
    <row r="251" spans="1:3" x14ac:dyDescent="0.35">
      <c r="A251" s="4">
        <v>248</v>
      </c>
      <c r="B251" s="116" t="str">
        <f ca="1">Questions!F242</f>
        <v>Lademöglichkeiten für leichte e-Fahrzeuge: &gt;10 = 2; 1 - 10 = 1; keine = 0</v>
      </c>
      <c r="C251" s="215"/>
    </row>
    <row r="252" spans="1:3" ht="29" x14ac:dyDescent="0.35">
      <c r="A252" s="4">
        <v>249</v>
      </c>
      <c r="B252" s="116" t="str">
        <f ca="1">Questions!F243</f>
        <v>Zugang zu Bike-Sharing Punkten führt durch die Parkebene und ist nicht separat vom Kfz-Bereich: 1 Punkt Abzug</v>
      </c>
      <c r="C252" s="215"/>
    </row>
    <row r="253" spans="1:3" ht="29" x14ac:dyDescent="0.35">
      <c r="A253" s="4">
        <v>250</v>
      </c>
      <c r="B253" s="116" t="str">
        <f ca="1">Questions!F244</f>
        <v>Neubau wurde unter Berücksichtigung von Nachhaltigkeitskonzepten (Recycling) errichtet (ja = 1; nein = 0)</v>
      </c>
      <c r="C253" s="215"/>
    </row>
    <row r="254" spans="1:3" x14ac:dyDescent="0.35">
      <c r="A254" s="4">
        <v>251</v>
      </c>
      <c r="B254" s="116" t="str">
        <f ca="1">Questions!F245</f>
        <v>Andere Umweltinitiativen (ja = 2; nein = 0)</v>
      </c>
      <c r="C254" s="215"/>
    </row>
    <row r="255" spans="1:3" x14ac:dyDescent="0.35">
      <c r="A255" s="4">
        <v>252</v>
      </c>
      <c r="B255" s="116" t="str">
        <f ca="1">Questions!F246</f>
        <v>Minuspunkte</v>
      </c>
      <c r="C255" s="215"/>
    </row>
    <row r="256" spans="1:3" x14ac:dyDescent="0.35">
      <c r="A256" s="4">
        <v>253</v>
      </c>
      <c r="B256" s="116" t="str">
        <f ca="1">Questions!F247</f>
        <v>Graffitis</v>
      </c>
      <c r="C256" s="215"/>
    </row>
    <row r="257" spans="1:3" x14ac:dyDescent="0.35">
      <c r="A257" s="4">
        <v>254</v>
      </c>
      <c r="B257" s="116" t="str">
        <f ca="1">Questions!F248</f>
        <v>Treppenhäuser (ja = -2; nein = 0)</v>
      </c>
      <c r="C257" s="215"/>
    </row>
    <row r="258" spans="1:3" x14ac:dyDescent="0.35">
      <c r="A258" s="4">
        <v>255</v>
      </c>
      <c r="B258" s="116" t="str">
        <f ca="1">Questions!F249</f>
        <v>Aufzüge (ja = -2; nein = 0)</v>
      </c>
      <c r="C258" s="215"/>
    </row>
    <row r="259" spans="1:3" x14ac:dyDescent="0.35">
      <c r="A259" s="4">
        <v>256</v>
      </c>
      <c r="B259" s="116" t="str">
        <f ca="1">Questions!F250</f>
        <v>Toiletten (ja = -2; nein = 0)</v>
      </c>
      <c r="C259" s="215"/>
    </row>
    <row r="260" spans="1:3" x14ac:dyDescent="0.35">
      <c r="A260" s="4">
        <v>257</v>
      </c>
      <c r="B260" s="116" t="str">
        <f ca="1">Questions!F251</f>
        <v>Parkbereich (ja = -2; nein = 0)</v>
      </c>
      <c r="C260" s="215"/>
    </row>
    <row r="261" spans="1:3" x14ac:dyDescent="0.35">
      <c r="A261" s="4">
        <v>258</v>
      </c>
      <c r="B261" s="116" t="str">
        <f ca="1">Questions!F252</f>
        <v>Außenwände (ja = -2; nein = 0)</v>
      </c>
      <c r="C261" s="215"/>
    </row>
    <row r="262" spans="1:3" x14ac:dyDescent="0.35">
      <c r="A262" s="4">
        <v>259</v>
      </c>
      <c r="B262" s="116" t="str">
        <f ca="1">Questions!F253</f>
        <v>Verschmutzung</v>
      </c>
      <c r="C262" s="215"/>
    </row>
    <row r="263" spans="1:3" x14ac:dyDescent="0.35">
      <c r="A263" s="4">
        <v>260</v>
      </c>
      <c r="B263" s="116" t="str">
        <f ca="1">Questions!F254</f>
        <v>Treppenhäuser (ja = -2; nein = 0)</v>
      </c>
      <c r="C263" s="215"/>
    </row>
    <row r="264" spans="1:3" x14ac:dyDescent="0.35">
      <c r="A264" s="4">
        <v>261</v>
      </c>
      <c r="B264" s="116" t="str">
        <f ca="1">Questions!F255</f>
        <v>Aufzüge (ja = -2; nein = 0)</v>
      </c>
      <c r="C264" s="215"/>
    </row>
    <row r="265" spans="1:3" x14ac:dyDescent="0.35">
      <c r="A265" s="4">
        <v>262</v>
      </c>
      <c r="B265" s="116" t="str">
        <f ca="1">Questions!F256</f>
        <v>Toiletten (ja = -2; nein = 0)</v>
      </c>
      <c r="C265" s="215"/>
    </row>
    <row r="266" spans="1:3" x14ac:dyDescent="0.35">
      <c r="A266" s="4">
        <v>263</v>
      </c>
      <c r="B266" s="116" t="str">
        <f ca="1">Questions!F257</f>
        <v>Parkbereich (ja = -2; nein = 0)</v>
      </c>
      <c r="C266" s="215"/>
    </row>
    <row r="267" spans="1:3" x14ac:dyDescent="0.35">
      <c r="A267" s="4">
        <v>264</v>
      </c>
      <c r="B267" s="116" t="str">
        <f ca="1">Questions!F258</f>
        <v>Zugangs- und Zufahrtsbereiche (ja = -2; nein = 0)</v>
      </c>
      <c r="C267" s="215"/>
    </row>
    <row r="268" spans="1:3" x14ac:dyDescent="0.35">
      <c r="A268" s="4">
        <v>265</v>
      </c>
      <c r="B268" s="116" t="str">
        <f ca="1">Questions!F259</f>
        <v>Schlechter Zustand der Malerarbeiten</v>
      </c>
      <c r="C268" s="215"/>
    </row>
    <row r="269" spans="1:3" x14ac:dyDescent="0.35">
      <c r="A269" s="4">
        <v>266</v>
      </c>
      <c r="B269" s="116" t="str">
        <f ca="1">Questions!F260</f>
        <v>Treppenhäuser (ja = -2; nein = 0)</v>
      </c>
      <c r="C269" s="215"/>
    </row>
    <row r="270" spans="1:3" x14ac:dyDescent="0.35">
      <c r="A270" s="4">
        <v>267</v>
      </c>
      <c r="B270" s="116" t="str">
        <f ca="1">Questions!F261</f>
        <v>Aufzüge (ja = -2; nein = 0)</v>
      </c>
      <c r="C270" s="215"/>
    </row>
    <row r="271" spans="1:3" x14ac:dyDescent="0.35">
      <c r="A271" s="4">
        <v>268</v>
      </c>
      <c r="B271" s="116" t="str">
        <f ca="1">Questions!F262</f>
        <v>Parkbereich (ja = -2; nein = 0)</v>
      </c>
      <c r="C271" s="215"/>
    </row>
    <row r="272" spans="1:3" x14ac:dyDescent="0.35">
      <c r="A272" s="4">
        <v>269</v>
      </c>
      <c r="B272" s="116" t="str">
        <f ca="1">Questions!F263</f>
        <v>Bodenmarkierungen (ja = -2; nein = 0)</v>
      </c>
      <c r="C272" s="215"/>
    </row>
    <row r="273" spans="1:3" x14ac:dyDescent="0.35">
      <c r="A273" s="4">
        <v>270</v>
      </c>
      <c r="B273" s="116" t="str">
        <f ca="1">Questions!F264</f>
        <v>Schlechte Qualität / Instandhaltungsmängel (Schlaglöcher, Schäden)</v>
      </c>
      <c r="C273" s="215"/>
    </row>
    <row r="274" spans="1:3" x14ac:dyDescent="0.35">
      <c r="A274" s="4">
        <v>271</v>
      </c>
      <c r="B274" s="116" t="str">
        <f ca="1">Questions!F265</f>
        <v>Boden (ja = -2; nein = 0)</v>
      </c>
      <c r="C274" s="215"/>
    </row>
    <row r="275" spans="1:3" x14ac:dyDescent="0.35">
      <c r="A275" s="4">
        <v>272</v>
      </c>
      <c r="B275" s="116" t="str">
        <f ca="1">Questions!F266</f>
        <v>Wände (ja = -2; nein = 0)</v>
      </c>
      <c r="C275" s="215"/>
    </row>
    <row r="276" spans="1:3" x14ac:dyDescent="0.35">
      <c r="A276" s="4">
        <v>273</v>
      </c>
      <c r="B276" s="116" t="str">
        <f ca="1">Questions!F267</f>
        <v>Neigung zur Pfützenbildung (ja = -2; nein = 0)</v>
      </c>
      <c r="C276" s="215"/>
    </row>
    <row r="277" spans="1:3" x14ac:dyDescent="0.35">
      <c r="A277" s="4">
        <v>274</v>
      </c>
      <c r="B277" s="116" t="str">
        <f ca="1">Questions!F268</f>
        <v>Unangenehmer Geruch</v>
      </c>
      <c r="C277" s="215"/>
    </row>
    <row r="278" spans="1:3" x14ac:dyDescent="0.35">
      <c r="A278" s="4">
        <v>275</v>
      </c>
      <c r="B278" s="116" t="str">
        <f ca="1">Questions!F269</f>
        <v>Aufzüge (ja = 2; nein = 0)</v>
      </c>
      <c r="C278" s="215"/>
    </row>
    <row r="279" spans="1:3" x14ac:dyDescent="0.35">
      <c r="A279" s="4">
        <v>276</v>
      </c>
      <c r="B279" s="116" t="str">
        <f ca="1">Questions!F270</f>
        <v>Treppenhäuser (ja = -2; nein = 0)</v>
      </c>
      <c r="C279" s="215"/>
    </row>
    <row r="280" spans="1:3" x14ac:dyDescent="0.35">
      <c r="A280" s="4">
        <v>277</v>
      </c>
      <c r="B280" s="116" t="str">
        <f ca="1">Questions!F271</f>
        <v>Parkbereich (ja = -2; nein = 0)</v>
      </c>
      <c r="C280" s="215"/>
    </row>
    <row r="281" spans="1:3" ht="29" x14ac:dyDescent="0.35">
      <c r="A281" s="4">
        <v>278</v>
      </c>
      <c r="B281" s="116" t="str">
        <f ca="1">Questions!F272</f>
        <v>Mehr als 15% der Stellplätze in Sackgassen ohne Belegungsanzeige (ja = -5; nein = 0)</v>
      </c>
      <c r="C281" s="215"/>
    </row>
    <row r="282" spans="1:3" ht="43.5" x14ac:dyDescent="0.35">
      <c r="A282" s="4">
        <v>279</v>
      </c>
      <c r="B282" s="116" t="str">
        <f ca="1">Questions!F273</f>
        <v>Verschiedene Kritikpunte (bitte erläutern!)
[z.B. unerwünschter Lärm, quietschende Reifen, unerwünschte Personen, etc] bis -10</v>
      </c>
      <c r="C282" s="215"/>
    </row>
    <row r="283" spans="1:3" x14ac:dyDescent="0.35">
      <c r="A283" s="4">
        <v>280</v>
      </c>
      <c r="B283" s="116" t="str">
        <f ca="1">Questions!F274</f>
        <v>Strafabzug für Mindestanforderung (1.4 kommt zur Anwendung)</v>
      </c>
      <c r="C283" s="215"/>
    </row>
    <row r="284" spans="1:3" x14ac:dyDescent="0.35">
      <c r="A284" s="4">
        <v>281</v>
      </c>
      <c r="B284" s="116" t="str">
        <f ca="1">Questions!F275</f>
        <v>Bonuspunkte</v>
      </c>
      <c r="C284" s="215"/>
    </row>
    <row r="285" spans="1:3" x14ac:dyDescent="0.35">
      <c r="A285" s="4">
        <v>282</v>
      </c>
      <c r="B285" s="116" t="str">
        <f ca="1">Questions!F276</f>
        <v>zusätzliche Einrichtungen in der Parkeinrichtung</v>
      </c>
      <c r="C285" s="215"/>
    </row>
    <row r="286" spans="1:3" x14ac:dyDescent="0.35">
      <c r="A286" s="4">
        <v>283</v>
      </c>
      <c r="B286" s="116" t="str">
        <f ca="1">Questions!F277</f>
        <v>Separater Motorradbereich (ja = 1; nein = 0)</v>
      </c>
      <c r="C286" s="215"/>
    </row>
    <row r="287" spans="1:3" x14ac:dyDescent="0.35">
      <c r="A287" s="4">
        <v>284</v>
      </c>
      <c r="B287" s="116" t="str">
        <f ca="1">Questions!F278</f>
        <v>Schließfächer für Kunden (ja = 1; nein = 0)</v>
      </c>
      <c r="C287" s="215"/>
    </row>
    <row r="288" spans="1:3" x14ac:dyDescent="0.35">
      <c r="A288" s="4">
        <v>285</v>
      </c>
      <c r="B288" s="116" t="str">
        <f ca="1">Questions!F279</f>
        <v>sonstige Hilfen (ja = 1; nein = 0)</v>
      </c>
      <c r="C288" s="215"/>
    </row>
    <row r="289" spans="1:3" x14ac:dyDescent="0.35">
      <c r="A289" s="4">
        <v>286</v>
      </c>
      <c r="B289" s="116" t="str">
        <f ca="1">Questions!F280</f>
        <v>Fahradverleih (ja = 1; nein = 0)</v>
      </c>
      <c r="C289" s="215"/>
    </row>
    <row r="290" spans="1:3" x14ac:dyDescent="0.35">
      <c r="A290" s="4">
        <v>287</v>
      </c>
      <c r="B290" s="116" t="str">
        <f ca="1">Questions!F281</f>
        <v>sonstige Fahrerunterstützung (ja = 1; nein = 0)</v>
      </c>
      <c r="C290" s="215"/>
    </row>
    <row r="291" spans="1:3" x14ac:dyDescent="0.35">
      <c r="A291" s="4">
        <v>288</v>
      </c>
      <c r="B291" s="116" t="str">
        <f ca="1">Questions!F282</f>
        <v>Verkaufsmaschinen (ja = 1; nein = 0)</v>
      </c>
      <c r="C291" s="215"/>
    </row>
    <row r="292" spans="1:3" x14ac:dyDescent="0.35">
      <c r="A292" s="4">
        <v>289</v>
      </c>
      <c r="B292" s="116" t="str">
        <f ca="1">Questions!F283</f>
        <v>Defibrillator (ja = 1; nein = 0)</v>
      </c>
      <c r="C292" s="215"/>
    </row>
    <row r="293" spans="1:3" x14ac:dyDescent="0.35">
      <c r="A293" s="4">
        <v>290</v>
      </c>
      <c r="B293" s="116" t="str">
        <f ca="1">Questions!F284</f>
        <v>Personal mit Erster Hilfe-Ausbildung (ja = 1; nein = 0)</v>
      </c>
      <c r="C293" s="215"/>
    </row>
    <row r="294" spans="1:3" x14ac:dyDescent="0.35">
      <c r="A294" s="4">
        <v>291</v>
      </c>
      <c r="B294" s="116" t="str">
        <f ca="1">Questions!F285</f>
        <v>Echtzeit-Verkehrsdaten (ja = 1; nein = 0)</v>
      </c>
      <c r="C294" s="215"/>
    </row>
    <row r="295" spans="1:3" x14ac:dyDescent="0.35">
      <c r="A295" s="4">
        <v>292</v>
      </c>
      <c r="B295" s="116" t="str">
        <f ca="1">Questions!F286</f>
        <v>Datenaustausch via APDS Standard (ja = 1; nein = 0)</v>
      </c>
      <c r="C295" s="215"/>
    </row>
    <row r="296" spans="1:3" ht="29" x14ac:dyDescent="0.35">
      <c r="A296" s="4">
        <v>293</v>
      </c>
      <c r="B296" s="116" t="str">
        <f ca="1">Questions!F287</f>
        <v>sonstige Echtzeit-Informationen (z.B. lokale Veranstaltungen) (ja = 1; nein = 0)</v>
      </c>
      <c r="C296" s="215"/>
    </row>
    <row r="297" spans="1:3" ht="29" x14ac:dyDescent="0.35">
      <c r="A297" s="4">
        <v>294</v>
      </c>
      <c r="B297" s="116" t="str">
        <f ca="1">Questions!F288</f>
        <v>Maßnahmen, um Staus in Stoßzeiten zu verhindern (z.B. Wechselspuren) (ja = 3; nein = 0)</v>
      </c>
      <c r="C297" s="215"/>
    </row>
    <row r="298" spans="1:3" ht="29" x14ac:dyDescent="0.35">
      <c r="A298" s="4">
        <v>295</v>
      </c>
      <c r="B298" s="116" t="str">
        <f ca="1">Questions!F289</f>
        <v>Wendemöglichkeit vor der Höhenbeschränkung oder rechtzeitige Anzeige, um ein Wenden zu verhindern. (ja = 3; nein = 0)</v>
      </c>
      <c r="C298" s="215"/>
    </row>
    <row r="299" spans="1:3" x14ac:dyDescent="0.35">
      <c r="A299" s="4">
        <v>296</v>
      </c>
      <c r="B299" s="116" t="str">
        <f ca="1">Questions!F290</f>
        <v>(besetzter) Kundenschalter (ja = 1; nein = 0)</v>
      </c>
      <c r="C299" s="215"/>
    </row>
    <row r="300" spans="1:3" ht="29" x14ac:dyDescent="0.35">
      <c r="A300" s="4">
        <v>297</v>
      </c>
      <c r="B300" s="116" t="str">
        <f ca="1">Questions!F291</f>
        <v>Rolltreppen und/oder Rollbänder
(in/von allen Ebenen = 5; in/von einigen Ebenen = 3; keine = 0)</v>
      </c>
      <c r="C300" s="215"/>
    </row>
    <row r="301" spans="1:3" ht="29" x14ac:dyDescent="0.35">
      <c r="A301" s="4">
        <v>298</v>
      </c>
      <c r="B301" s="116" t="str">
        <f ca="1">Questions!F292</f>
        <v>Auffindbarkeit des geparkten Fahrzeugs anhand des Tickets oder Kennzeichens (ja = 1; nein ) 0)</v>
      </c>
      <c r="C301" s="215"/>
    </row>
    <row r="302" spans="1:3" ht="29" x14ac:dyDescent="0.35">
      <c r="A302" s="4">
        <v>299</v>
      </c>
      <c r="B302" s="116" t="str">
        <f ca="1">Questions!F293</f>
        <v>Schrankenloses Parken mit Kennzeichenerkennung (Free Flow): 1 Zusatzpunkt</v>
      </c>
      <c r="C302" s="215"/>
    </row>
    <row r="303" spans="1:3" ht="29" x14ac:dyDescent="0.35">
      <c r="A303" s="4">
        <v>300</v>
      </c>
      <c r="B303" s="116" t="str">
        <f ca="1">Questions!F294</f>
        <v>Park &amp; Ride / öffentlicher Verkehrsknotenpunkt beim Fußgängerausgang: ja = 1; nein = 0; Anzeige der aktuellen Abfahrtszeiten: 1 Zusatzpunkt</v>
      </c>
      <c r="C303" s="215"/>
    </row>
    <row r="304" spans="1:3" ht="29" x14ac:dyDescent="0.35">
      <c r="A304" s="4">
        <v>301</v>
      </c>
      <c r="B304" s="116" t="str">
        <f ca="1">Questions!F295</f>
        <v>Unterstützung von autonomen Fahrzeugen (AVP) in eigenen Bereichen der Parkeinrichtung: ja = 5; nein = 0</v>
      </c>
      <c r="C304" s="215"/>
    </row>
    <row r="305" spans="1:3" ht="43.5" x14ac:dyDescent="0.35">
      <c r="A305" s="4">
        <v>302</v>
      </c>
      <c r="B305" s="116" t="str">
        <f ca="1">Questions!F296</f>
        <v>Sonstige positive Punke: z.B. besonderer Service, freundliche Mitarbeiter, Fliesen an den Wänden / Böden; gutes Einfügen der Parkeinrichtung in das Stadtbild: bis zu 10 Punkte extra (bitte ausführen)</v>
      </c>
      <c r="C305" s="215"/>
    </row>
    <row r="306" spans="1:3" ht="29" x14ac:dyDescent="0.35">
      <c r="A306" s="4">
        <v>303</v>
      </c>
      <c r="B306" s="116" t="str">
        <f ca="1">Questions!F297</f>
        <v>Wurde ein Lebenszyklus für das Gebäude erstellt und veröffentlicht? (ja = 1; nein = 0)</v>
      </c>
      <c r="C306" s="215"/>
    </row>
    <row r="307" spans="1:3" ht="29" x14ac:dyDescent="0.35">
      <c r="A307" s="4">
        <v>304</v>
      </c>
      <c r="B307" s="116" t="str">
        <f ca="1">Questions!F298</f>
        <v>Gibt es einen Nachhaltigkeitsplan (inkl. Recycling nach Nutzungsende)? (ja = 1; nein = 0)</v>
      </c>
      <c r="C307" s="215"/>
    </row>
    <row r="308" spans="1:3" ht="29" x14ac:dyDescent="0.35">
      <c r="A308" s="4">
        <v>305</v>
      </c>
      <c r="B308" s="116" t="str">
        <f ca="1">Questions!F299</f>
        <v>Wird der tägliche, monatliche und jährliche Energiebedarf im Fußgängerbereich angezeigt? (ja = 1; nein = 0)</v>
      </c>
      <c r="C308" s="215"/>
    </row>
    <row r="309" spans="1:3" x14ac:dyDescent="0.35">
      <c r="A309" s="4">
        <v>306</v>
      </c>
      <c r="B309" s="116" t="str">
        <f ca="1">Questions!F300</f>
        <v>Gold Award</v>
      </c>
      <c r="C309" s="215"/>
    </row>
    <row r="310" spans="1:3" ht="29" x14ac:dyDescent="0.35">
      <c r="A310" s="4">
        <v>307</v>
      </c>
      <c r="B310" s="116" t="str">
        <f ca="1">Questions!F301</f>
        <v>Mindestdurchfahrtshöhe = 2,00 m  im öffentlich zugänglichen Bereich. Einzelne niedrigere Stellen müssen deutlich gekennzeichnet sein.</v>
      </c>
      <c r="C310" s="215"/>
    </row>
    <row r="311" spans="1:3" x14ac:dyDescent="0.35">
      <c r="A311" s="4">
        <v>308</v>
      </c>
      <c r="B311" s="116" t="str">
        <f ca="1">Questions!F302</f>
        <v>70% der Stellplätze müssen mindestens 2,40m breit sein</v>
      </c>
      <c r="C311" s="215"/>
    </row>
    <row r="312" spans="1:3" x14ac:dyDescent="0.35">
      <c r="A312" s="4">
        <v>309</v>
      </c>
      <c r="B312" s="116" t="str">
        <f ca="1">Questions!F303</f>
        <v>Durchschnittliche Ausleuchtung der Parkfläche beträgt mindestens 50 Lux</v>
      </c>
      <c r="C312" s="215"/>
    </row>
    <row r="313" spans="1:3" x14ac:dyDescent="0.35">
      <c r="A313" s="4"/>
      <c r="B313" s="57"/>
      <c r="C313" s="215"/>
    </row>
    <row r="315" spans="1:3" ht="21" x14ac:dyDescent="0.35">
      <c r="A315" s="113"/>
      <c r="B315" s="458" t="s">
        <v>2537</v>
      </c>
      <c r="C315" s="214"/>
    </row>
    <row r="316" spans="1:3" x14ac:dyDescent="0.35">
      <c r="A316" s="4">
        <v>1</v>
      </c>
      <c r="B316" s="116" t="str">
        <f>Tags!D4</f>
        <v>Date</v>
      </c>
      <c r="C316" s="215"/>
    </row>
    <row r="317" spans="1:3" x14ac:dyDescent="0.35">
      <c r="A317" s="4">
        <v>2</v>
      </c>
      <c r="B317" s="116" t="str">
        <f>Tags!D5</f>
        <v>Language</v>
      </c>
      <c r="C317" s="215"/>
    </row>
    <row r="318" spans="1:3" x14ac:dyDescent="0.35">
      <c r="A318" s="4">
        <v>3</v>
      </c>
      <c r="B318" s="116" t="str">
        <f>Tags!D6</f>
        <v>Country</v>
      </c>
      <c r="C318" s="215"/>
    </row>
    <row r="319" spans="1:3" x14ac:dyDescent="0.35">
      <c r="A319" s="4">
        <v>4</v>
      </c>
      <c r="B319" s="116" t="str">
        <f>Tags!D7</f>
        <v>Name of Car Park</v>
      </c>
      <c r="C319" s="215"/>
    </row>
    <row r="320" spans="1:3" x14ac:dyDescent="0.35">
      <c r="A320" s="4">
        <v>5</v>
      </c>
      <c r="B320" s="116" t="str">
        <f>Tags!D8</f>
        <v>Address</v>
      </c>
      <c r="C320" s="215"/>
    </row>
    <row r="321" spans="1:3" x14ac:dyDescent="0.35">
      <c r="A321" s="4">
        <v>6</v>
      </c>
      <c r="B321" s="116" t="str">
        <f>Tags!D9</f>
        <v>City</v>
      </c>
      <c r="C321" s="215"/>
    </row>
    <row r="322" spans="1:3" x14ac:dyDescent="0.35">
      <c r="A322" s="4">
        <v>7</v>
      </c>
      <c r="B322" s="116" t="str">
        <f>Tags!D10</f>
        <v>Number of Spaces</v>
      </c>
      <c r="C322" s="215"/>
    </row>
    <row r="323" spans="1:3" x14ac:dyDescent="0.35">
      <c r="A323" s="4">
        <v>8</v>
      </c>
      <c r="B323" s="116" t="str">
        <f>Tags!D11</f>
        <v>Operator</v>
      </c>
      <c r="C323" s="215"/>
    </row>
    <row r="324" spans="1:3" x14ac:dyDescent="0.35">
      <c r="A324" s="4">
        <v>9</v>
      </c>
      <c r="B324" s="116" t="str">
        <f>Tags!D12</f>
        <v>Contact Name</v>
      </c>
      <c r="C324" s="215"/>
    </row>
    <row r="325" spans="1:3" x14ac:dyDescent="0.35">
      <c r="A325" s="4">
        <v>10</v>
      </c>
      <c r="B325" s="116" t="str">
        <f>Tags!D13</f>
        <v>e-Mail</v>
      </c>
      <c r="C325" s="215"/>
    </row>
    <row r="326" spans="1:3" x14ac:dyDescent="0.35">
      <c r="A326" s="4">
        <v>11</v>
      </c>
      <c r="B326" s="116" t="str">
        <f>Tags!D14</f>
        <v>Phone</v>
      </c>
      <c r="C326" s="215"/>
    </row>
    <row r="327" spans="1:3" x14ac:dyDescent="0.35">
      <c r="A327" s="4">
        <v>12</v>
      </c>
      <c r="B327" s="116" t="str">
        <f>Tags!D15</f>
        <v>Judged by</v>
      </c>
      <c r="C327" s="215"/>
    </row>
    <row r="328" spans="1:3" x14ac:dyDescent="0.35">
      <c r="A328" s="4">
        <v>13</v>
      </c>
      <c r="B328" s="116" t="str">
        <f>Tags!D16</f>
        <v>Evaluation Conditions</v>
      </c>
      <c r="C328" s="215"/>
    </row>
    <row r="329" spans="1:3" x14ac:dyDescent="0.35">
      <c r="A329" s="4">
        <v>14</v>
      </c>
      <c r="B329" s="116" t="str">
        <f>Tags!D17</f>
        <v>Time of Day</v>
      </c>
      <c r="C329" s="215"/>
    </row>
    <row r="330" spans="1:3" x14ac:dyDescent="0.35">
      <c r="A330" s="4">
        <v>15</v>
      </c>
      <c r="B330" s="116" t="str">
        <f>Tags!D18</f>
        <v>Weather Conditions</v>
      </c>
      <c r="C330" s="215"/>
    </row>
    <row r="331" spans="1:3" x14ac:dyDescent="0.35">
      <c r="A331" s="4">
        <v>16</v>
      </c>
      <c r="B331" s="116" t="str">
        <f>Tags!D19</f>
        <v>Occupancy Rate</v>
      </c>
      <c r="C331" s="215"/>
    </row>
    <row r="332" spans="1:3" x14ac:dyDescent="0.35">
      <c r="A332" s="4">
        <v>17</v>
      </c>
      <c r="B332" s="116" t="str">
        <f>Tags!D20</f>
        <v>Completed</v>
      </c>
      <c r="C332" s="215"/>
    </row>
    <row r="333" spans="1:3" x14ac:dyDescent="0.35">
      <c r="A333" s="4">
        <v>18</v>
      </c>
      <c r="B333" s="116" t="str">
        <f>Tags!D21</f>
        <v>Incompleted</v>
      </c>
      <c r="C333" s="215"/>
    </row>
    <row r="334" spans="1:3" x14ac:dyDescent="0.35">
      <c r="A334" s="4">
        <v>19</v>
      </c>
      <c r="B334" s="116" t="str">
        <f>Tags!D22</f>
        <v>Compliant</v>
      </c>
      <c r="C334" s="215"/>
    </row>
    <row r="335" spans="1:3" x14ac:dyDescent="0.35">
      <c r="A335" s="4">
        <v>20</v>
      </c>
      <c r="B335" s="116" t="str">
        <f>Tags!D23</f>
        <v>Comments</v>
      </c>
      <c r="C335" s="215"/>
    </row>
    <row r="336" spans="1:3" x14ac:dyDescent="0.35">
      <c r="A336" s="4">
        <v>21</v>
      </c>
      <c r="B336" s="116" t="str">
        <f>Tags!D24</f>
        <v>Oks</v>
      </c>
      <c r="C336" s="215"/>
    </row>
    <row r="337" spans="1:3" x14ac:dyDescent="0.35">
      <c r="A337" s="4">
        <v>22</v>
      </c>
      <c r="B337" s="116" t="str">
        <f>Tags!D25</f>
        <v>Items Fail:</v>
      </c>
      <c r="C337" s="215"/>
    </row>
    <row r="338" spans="1:3" x14ac:dyDescent="0.35">
      <c r="A338" s="4">
        <v>23</v>
      </c>
      <c r="B338" s="116" t="str">
        <f>Tags!D26</f>
        <v>Not Evaluated:</v>
      </c>
      <c r="C338" s="215"/>
    </row>
    <row r="339" spans="1:3" x14ac:dyDescent="0.35">
      <c r="A339" s="4">
        <v>24</v>
      </c>
      <c r="B339" s="116" t="str">
        <f>Tags!D27</f>
        <v>Pass</v>
      </c>
      <c r="C339" s="215"/>
    </row>
    <row r="340" spans="1:3" x14ac:dyDescent="0.35">
      <c r="A340" s="4">
        <v>25</v>
      </c>
      <c r="B340" s="116" t="str">
        <f>Tags!D28</f>
        <v>Fail</v>
      </c>
      <c r="C340" s="215"/>
    </row>
    <row r="341" spans="1:3" x14ac:dyDescent="0.35">
      <c r="A341" s="4">
        <v>26</v>
      </c>
      <c r="B341" s="116" t="str">
        <f>Tags!D29</f>
        <v>Incomplete</v>
      </c>
      <c r="C341" s="215"/>
    </row>
    <row r="342" spans="1:3" x14ac:dyDescent="0.35">
      <c r="A342" s="4">
        <v>27</v>
      </c>
      <c r="B342" s="116" t="str">
        <f>Tags!D30</f>
        <v>Total Items</v>
      </c>
      <c r="C342" s="215"/>
    </row>
    <row r="343" spans="1:3" x14ac:dyDescent="0.35">
      <c r="A343" s="4">
        <v>28</v>
      </c>
      <c r="B343" s="116" t="str">
        <f>Tags!D31</f>
        <v>Total Items + SubItems</v>
      </c>
      <c r="C343" s="215"/>
    </row>
    <row r="344" spans="1:3" x14ac:dyDescent="0.35">
      <c r="A344" s="4">
        <v>29</v>
      </c>
      <c r="B344" s="116" t="str">
        <f>Tags!D32</f>
        <v>Itens Completed</v>
      </c>
      <c r="C344" s="215"/>
    </row>
    <row r="345" spans="1:3" x14ac:dyDescent="0.35">
      <c r="A345" s="4">
        <v>30</v>
      </c>
      <c r="B345" s="116" t="str">
        <f>Tags!D33</f>
        <v>Not measured</v>
      </c>
      <c r="C345" s="215"/>
    </row>
    <row r="346" spans="1:3" x14ac:dyDescent="0.35">
      <c r="A346" s="4">
        <v>31</v>
      </c>
      <c r="B346" s="116" t="str">
        <f>Tags!D34</f>
        <v>Score</v>
      </c>
      <c r="C346" s="215"/>
    </row>
    <row r="347" spans="1:3" x14ac:dyDescent="0.35">
      <c r="A347" s="4">
        <v>32</v>
      </c>
      <c r="B347" s="116" t="str">
        <f>Tags!D35</f>
        <v>Maximum Score</v>
      </c>
      <c r="C347" s="215"/>
    </row>
    <row r="348" spans="1:3" x14ac:dyDescent="0.35">
      <c r="A348" s="4">
        <v>33</v>
      </c>
      <c r="B348" s="116" t="str">
        <f>Tags!D36</f>
        <v>Percentage</v>
      </c>
      <c r="C348" s="215"/>
    </row>
    <row r="349" spans="1:3" x14ac:dyDescent="0.35">
      <c r="A349" s="4">
        <v>34</v>
      </c>
      <c r="B349" s="116" t="str">
        <f>Tags!D37</f>
        <v>Category Value</v>
      </c>
      <c r="C349" s="215"/>
    </row>
    <row r="350" spans="1:3" x14ac:dyDescent="0.35">
      <c r="A350" s="4">
        <v>35</v>
      </c>
      <c r="B350" s="116" t="str">
        <f>Tags!D38</f>
        <v>Global Evaluation</v>
      </c>
      <c r="C350" s="215"/>
    </row>
    <row r="351" spans="1:3" x14ac:dyDescent="0.35">
      <c r="A351" s="4">
        <v>36</v>
      </c>
      <c r="B351" s="116" t="str">
        <f>Tags!D39</f>
        <v>Category</v>
      </c>
      <c r="C351" s="215"/>
    </row>
    <row r="352" spans="1:3" x14ac:dyDescent="0.35">
      <c r="A352" s="4">
        <v>37</v>
      </c>
      <c r="B352" s="116" t="str">
        <f>Tags!D40</f>
        <v>Number of Items</v>
      </c>
      <c r="C352" s="215"/>
    </row>
    <row r="353" spans="1:3" x14ac:dyDescent="0.35">
      <c r="A353" s="4">
        <v>38</v>
      </c>
      <c r="B353" s="116" t="str">
        <f>Tags!D41</f>
        <v>Number of Oks</v>
      </c>
      <c r="C353" s="215"/>
    </row>
    <row r="354" spans="1:3" x14ac:dyDescent="0.35">
      <c r="A354" s="4">
        <v>39</v>
      </c>
      <c r="B354" s="116" t="str">
        <f>Tags!D42</f>
        <v>Number of Fails</v>
      </c>
      <c r="C354" s="215"/>
    </row>
    <row r="355" spans="1:3" x14ac:dyDescent="0.35">
      <c r="A355" s="4">
        <v>40</v>
      </c>
      <c r="B355" s="116" t="str">
        <f>Tags!D43</f>
        <v>To be Completed</v>
      </c>
      <c r="C355" s="215"/>
    </row>
    <row r="356" spans="1:3" x14ac:dyDescent="0.35">
      <c r="A356" s="4">
        <v>41</v>
      </c>
      <c r="B356" s="116" t="str">
        <f>Tags!D44</f>
        <v>% Obtained</v>
      </c>
      <c r="C356" s="215"/>
    </row>
    <row r="357" spans="1:3" x14ac:dyDescent="0.35">
      <c r="A357" s="4">
        <v>42</v>
      </c>
      <c r="B357" s="116" t="str">
        <f>Tags!D45</f>
        <v>Minimum</v>
      </c>
      <c r="C357" s="215"/>
    </row>
    <row r="358" spans="1:3" x14ac:dyDescent="0.35">
      <c r="A358" s="4">
        <v>43</v>
      </c>
      <c r="B358" s="116" t="str">
        <f>Tags!D46</f>
        <v>Category Points</v>
      </c>
      <c r="C358" s="215"/>
    </row>
    <row r="359" spans="1:3" x14ac:dyDescent="0.35">
      <c r="A359" s="4">
        <v>44</v>
      </c>
      <c r="B359" s="116" t="str">
        <f>Tags!D47</f>
        <v>Points Obtained</v>
      </c>
      <c r="C359" s="215"/>
    </row>
    <row r="360" spans="1:3" x14ac:dyDescent="0.35">
      <c r="A360" s="4">
        <v>45</v>
      </c>
      <c r="B360" s="116" t="str">
        <f>Tags!D48</f>
        <v>Status</v>
      </c>
      <c r="C360" s="215"/>
    </row>
    <row r="361" spans="1:3" x14ac:dyDescent="0.35">
      <c r="A361" s="4">
        <v>46</v>
      </c>
      <c r="B361" s="116" t="str">
        <f>Tags!D49</f>
        <v>% Completion:</v>
      </c>
      <c r="C361" s="215"/>
    </row>
    <row r="362" spans="1:3" x14ac:dyDescent="0.35">
      <c r="A362" s="4">
        <v>47</v>
      </c>
      <c r="B362" s="116" t="str">
        <f>Tags!D50</f>
        <v>Subtotals</v>
      </c>
      <c r="C362" s="215"/>
    </row>
    <row r="363" spans="1:3" x14ac:dyDescent="0.35">
      <c r="A363" s="4">
        <v>48</v>
      </c>
      <c r="B363" s="116" t="str">
        <f>Tags!D51</f>
        <v>Totals</v>
      </c>
      <c r="C363" s="215"/>
    </row>
    <row r="364" spans="1:3" x14ac:dyDescent="0.35">
      <c r="A364" s="4">
        <v>49</v>
      </c>
      <c r="B364" s="116" t="str">
        <f>Tags!D52</f>
        <v>Minimum Requirement for ESPA Award</v>
      </c>
      <c r="C364" s="215"/>
    </row>
    <row r="365" spans="1:3" x14ac:dyDescent="0.35">
      <c r="A365" s="4">
        <v>50</v>
      </c>
      <c r="B365" s="116" t="str">
        <f>Tags!D53</f>
        <v>Categories Minimum Points</v>
      </c>
      <c r="C365" s="215"/>
    </row>
    <row r="366" spans="1:3" x14ac:dyDescent="0.35">
      <c r="A366" s="4">
        <v>51</v>
      </c>
      <c r="B366" s="116" t="str">
        <f>Tags!D54</f>
        <v>Espa Award</v>
      </c>
      <c r="C366" s="215"/>
    </row>
    <row r="367" spans="1:3" x14ac:dyDescent="0.35">
      <c r="A367" s="4">
        <v>52</v>
      </c>
      <c r="B367" s="116" t="str">
        <f>Tags!D55</f>
        <v>Item List</v>
      </c>
      <c r="C367" s="215"/>
    </row>
    <row r="368" spans="1:3" x14ac:dyDescent="0.35">
      <c r="A368" s="4">
        <v>53</v>
      </c>
      <c r="B368" s="116" t="str">
        <f>Tags!D56</f>
        <v>Measured value</v>
      </c>
      <c r="C368" s="215"/>
    </row>
    <row r="369" spans="1:3" x14ac:dyDescent="0.35">
      <c r="A369" s="4">
        <v>54</v>
      </c>
      <c r="B369" s="116" t="str">
        <f>Tags!D57</f>
        <v>Maximum Contribuition for Final Score</v>
      </c>
      <c r="C369" s="215"/>
    </row>
    <row r="370" spans="1:3" x14ac:dyDescent="0.35">
      <c r="A370" s="4">
        <v>55</v>
      </c>
      <c r="B370" s="116" t="str">
        <f>Tags!D58</f>
        <v>Contribuition for Final Score</v>
      </c>
      <c r="C370" s="215"/>
    </row>
    <row r="371" spans="1:3" x14ac:dyDescent="0.35">
      <c r="A371" s="4">
        <v>56</v>
      </c>
      <c r="B371" s="116" t="str">
        <f>Tags!D59</f>
        <v>Remarks</v>
      </c>
      <c r="C371" s="215"/>
    </row>
    <row r="372" spans="1:3" x14ac:dyDescent="0.35">
      <c r="A372" s="4">
        <v>57</v>
      </c>
      <c r="B372" s="116" t="str">
        <f>Tags!D60</f>
        <v>Notes</v>
      </c>
      <c r="C372" s="215"/>
    </row>
    <row r="373" spans="1:3" x14ac:dyDescent="0.35">
      <c r="A373" s="4">
        <v>58</v>
      </c>
      <c r="B373" s="116" t="str">
        <f>Tags!D61</f>
        <v>This will erase all data in ESPA Worksheet. Are you sure?</v>
      </c>
      <c r="C373" s="215"/>
    </row>
    <row r="374" spans="1:3" ht="29" x14ac:dyDescent="0.35">
      <c r="A374" s="4">
        <v>59</v>
      </c>
      <c r="B374" s="116" t="str">
        <f>Tags!D62</f>
        <v>You have entered an incorrect password. ESPA Worksheets could not be umprotected.</v>
      </c>
      <c r="C374" s="215"/>
    </row>
    <row r="375" spans="1:3" x14ac:dyDescent="0.35">
      <c r="A375" s="4">
        <v>60</v>
      </c>
      <c r="B375" s="116" t="str">
        <f>Tags!D63</f>
        <v>Please enter your password to umprotect ESPA Worksheet:</v>
      </c>
      <c r="C375" s="215"/>
    </row>
    <row r="376" spans="1:3" x14ac:dyDescent="0.35">
      <c r="A376" s="4">
        <v>61</v>
      </c>
      <c r="B376" s="116" t="str">
        <f>Tags!D64</f>
        <v>Password Input</v>
      </c>
      <c r="C376" s="215"/>
    </row>
    <row r="377" spans="1:3" x14ac:dyDescent="0.35">
      <c r="A377" s="4">
        <v>62</v>
      </c>
      <c r="B377" s="116" t="str">
        <f>Tags!D65</f>
        <v>Incorrect Password</v>
      </c>
      <c r="C377" s="215"/>
    </row>
    <row r="378" spans="1:3" x14ac:dyDescent="0.35">
      <c r="A378" s="4">
        <v>63</v>
      </c>
      <c r="B378" s="116" t="str">
        <f>Tags!D66</f>
        <v>This will print 15 pages on your active printer. Are you sure?</v>
      </c>
      <c r="C378" s="215"/>
    </row>
    <row r="379" spans="1:3" x14ac:dyDescent="0.35">
      <c r="A379" s="4">
        <v>64</v>
      </c>
      <c r="B379" s="116" t="str">
        <f>Tags!D67</f>
        <v>Alert</v>
      </c>
      <c r="C379" s="215"/>
    </row>
    <row r="380" spans="1:3" ht="29" x14ac:dyDescent="0.35">
      <c r="A380" s="4">
        <v>65</v>
      </c>
      <c r="B380" s="116" t="str">
        <f>Tags!D68</f>
        <v>Changing languge will reset al your previous answers. Do you want to proceed?</v>
      </c>
      <c r="C380" s="215"/>
    </row>
    <row r="381" spans="1:3" x14ac:dyDescent="0.35">
      <c r="A381" s="4">
        <v>66</v>
      </c>
      <c r="B381" s="116" t="str">
        <f>Tags!D69</f>
        <v>Mandatory Conditions for Gold Award</v>
      </c>
      <c r="C381" s="215"/>
    </row>
    <row r="382" spans="1:3" x14ac:dyDescent="0.35">
      <c r="A382" s="4">
        <v>67</v>
      </c>
      <c r="B382" s="116" t="str">
        <f>Tags!D70</f>
        <v>ESPA Gold Award</v>
      </c>
      <c r="C382" s="215"/>
    </row>
    <row r="383" spans="1:3" x14ac:dyDescent="0.35">
      <c r="A383" s="4">
        <v>68</v>
      </c>
      <c r="B383" s="116" t="str">
        <f>Tags!D71</f>
        <v>Global Evaluation - Gold Award</v>
      </c>
      <c r="C383" s="215"/>
    </row>
    <row r="384" spans="1:3" ht="29" x14ac:dyDescent="0.35">
      <c r="A384" s="4">
        <v>69</v>
      </c>
      <c r="B384" s="116" t="str">
        <f>Tags!D72</f>
        <v>The ESPA Worksheet uses Macros. Please enable content or close and reopen with Macros Enabled</v>
      </c>
      <c r="C384" s="215"/>
    </row>
    <row r="385" spans="1:3" x14ac:dyDescent="0.35">
      <c r="A385" s="4">
        <v>70</v>
      </c>
      <c r="B385" s="116" t="str">
        <f>Tags!D73</f>
        <v>Year of Construction</v>
      </c>
      <c r="C385" s="215"/>
    </row>
    <row r="386" spans="1:3" x14ac:dyDescent="0.35">
      <c r="A386" s="4">
        <v>71</v>
      </c>
      <c r="B386" s="116" t="str">
        <f>Tags!D74</f>
        <v>Structure</v>
      </c>
      <c r="C386" s="215"/>
    </row>
    <row r="387" spans="1:3" x14ac:dyDescent="0.35">
      <c r="A387" s="4">
        <v>72</v>
      </c>
      <c r="B387" s="116" t="str">
        <f>Tags!D75</f>
        <v>Type</v>
      </c>
      <c r="C387" s="215"/>
    </row>
    <row r="388" spans="1:3" x14ac:dyDescent="0.35">
      <c r="A388" s="4">
        <v>73</v>
      </c>
      <c r="B388" s="116" t="str">
        <f>Tags!D76</f>
        <v>Access Control System</v>
      </c>
      <c r="C388" s="215"/>
    </row>
    <row r="389" spans="1:3" x14ac:dyDescent="0.35">
      <c r="A389" s="4">
        <v>74</v>
      </c>
      <c r="B389" s="116" t="str">
        <f>Tags!D77</f>
        <v>Number of Lifts</v>
      </c>
      <c r="C389" s="215"/>
    </row>
    <row r="390" spans="1:3" x14ac:dyDescent="0.35">
      <c r="A390" s="4">
        <v>75</v>
      </c>
      <c r="B390" s="116" t="str">
        <f>Tags!D78</f>
        <v>Number of Floors</v>
      </c>
      <c r="C390" s="215"/>
    </row>
    <row r="391" spans="1:3" x14ac:dyDescent="0.35">
      <c r="A391" s="4">
        <v>76</v>
      </c>
      <c r="B391" s="116" t="str">
        <f>Tags!D79</f>
        <v>Car Park Main Characteristics</v>
      </c>
      <c r="C391" s="215"/>
    </row>
    <row r="393" spans="1:3" ht="21" x14ac:dyDescent="0.35">
      <c r="A393" s="149"/>
      <c r="B393" s="458" t="s">
        <v>2925</v>
      </c>
      <c r="C393" s="125"/>
    </row>
    <row r="394" spans="1:3" x14ac:dyDescent="0.35">
      <c r="A394" s="4">
        <v>1</v>
      </c>
      <c r="B394" s="116" t="str">
        <f>+Answers!D4</f>
        <v>Morning</v>
      </c>
      <c r="C394" s="215"/>
    </row>
    <row r="395" spans="1:3" x14ac:dyDescent="0.35">
      <c r="A395" s="4">
        <v>2</v>
      </c>
      <c r="B395" s="116" t="str">
        <f>+Answers!D5</f>
        <v>Afternoon</v>
      </c>
      <c r="C395" s="215"/>
    </row>
    <row r="396" spans="1:3" x14ac:dyDescent="0.35">
      <c r="A396" s="4">
        <v>3</v>
      </c>
      <c r="B396" s="116" t="str">
        <f>+Answers!D6</f>
        <v>Evening</v>
      </c>
      <c r="C396" s="215"/>
    </row>
    <row r="397" spans="1:3" x14ac:dyDescent="0.35">
      <c r="A397" s="4">
        <v>4</v>
      </c>
      <c r="B397" s="116"/>
      <c r="C397" s="215"/>
    </row>
    <row r="398" spans="1:3" x14ac:dyDescent="0.35">
      <c r="A398" s="4">
        <v>5</v>
      </c>
      <c r="B398" s="116" t="str">
        <f>+Answers!D8</f>
        <v>Sunny</v>
      </c>
      <c r="C398" s="215"/>
    </row>
    <row r="399" spans="1:3" x14ac:dyDescent="0.35">
      <c r="A399" s="4">
        <v>6</v>
      </c>
      <c r="B399" s="116" t="str">
        <f>+Answers!D9</f>
        <v>Cloudy</v>
      </c>
      <c r="C399" s="215"/>
    </row>
    <row r="400" spans="1:3" x14ac:dyDescent="0.35">
      <c r="A400" s="4">
        <v>7</v>
      </c>
      <c r="B400" s="116" t="str">
        <f>+Answers!D10</f>
        <v>Rain</v>
      </c>
      <c r="C400" s="215"/>
    </row>
    <row r="401" spans="1:3" x14ac:dyDescent="0.35">
      <c r="A401" s="4">
        <v>8</v>
      </c>
      <c r="B401" s="116" t="str">
        <f>+Answers!D11</f>
        <v>Dusk</v>
      </c>
      <c r="C401" s="215"/>
    </row>
    <row r="402" spans="1:3" x14ac:dyDescent="0.35">
      <c r="A402" s="4">
        <v>9</v>
      </c>
      <c r="B402" s="116" t="str">
        <f>+Answers!D12</f>
        <v>Night</v>
      </c>
      <c r="C402" s="215"/>
    </row>
    <row r="403" spans="1:3" x14ac:dyDescent="0.35">
      <c r="A403" s="4">
        <v>10</v>
      </c>
      <c r="B403" s="116"/>
      <c r="C403" s="215"/>
    </row>
    <row r="404" spans="1:3" x14ac:dyDescent="0.35">
      <c r="A404" s="4">
        <v>11</v>
      </c>
      <c r="B404" s="116" t="str">
        <f>+Answers!D14</f>
        <v xml:space="preserve"> &gt; 75%</v>
      </c>
      <c r="C404" s="215"/>
    </row>
    <row r="405" spans="1:3" x14ac:dyDescent="0.35">
      <c r="A405" s="4">
        <v>12</v>
      </c>
      <c r="B405" s="116" t="str">
        <f>+Answers!D15</f>
        <v xml:space="preserve"> 50% - 75%</v>
      </c>
      <c r="C405" s="215"/>
    </row>
    <row r="406" spans="1:3" x14ac:dyDescent="0.35">
      <c r="A406" s="4">
        <v>13</v>
      </c>
      <c r="B406" s="116" t="str">
        <f>+Answers!D16</f>
        <v xml:space="preserve"> about 50%</v>
      </c>
      <c r="C406" s="215"/>
    </row>
    <row r="407" spans="1:3" x14ac:dyDescent="0.35">
      <c r="A407" s="4">
        <v>14</v>
      </c>
      <c r="B407" s="116" t="str">
        <f>+Answers!D17</f>
        <v xml:space="preserve"> 25% - 50%  </v>
      </c>
      <c r="C407" s="215"/>
    </row>
    <row r="408" spans="1:3" x14ac:dyDescent="0.35">
      <c r="A408" s="4">
        <v>15</v>
      </c>
      <c r="B408" s="116" t="str">
        <f>+Answers!D18</f>
        <v>&lt; 25%</v>
      </c>
      <c r="C408" s="215"/>
    </row>
    <row r="409" spans="1:3" x14ac:dyDescent="0.35">
      <c r="A409" s="4">
        <v>16</v>
      </c>
      <c r="B409" s="116"/>
      <c r="C409" s="215"/>
    </row>
    <row r="410" spans="1:3" x14ac:dyDescent="0.35">
      <c r="A410" s="4">
        <v>17</v>
      </c>
      <c r="B410" s="116" t="str">
        <f>+Answers!D20</f>
        <v>OK</v>
      </c>
      <c r="C410" s="215"/>
    </row>
    <row r="411" spans="1:3" x14ac:dyDescent="0.35">
      <c r="A411" s="4">
        <v>18</v>
      </c>
      <c r="B411" s="116" t="str">
        <f>+Answers!D21</f>
        <v>Fail</v>
      </c>
      <c r="C411" s="215"/>
    </row>
    <row r="412" spans="1:3" x14ac:dyDescent="0.35">
      <c r="A412" s="4">
        <v>19</v>
      </c>
      <c r="B412" s="116"/>
      <c r="C412" s="215"/>
    </row>
    <row r="413" spans="1:3" x14ac:dyDescent="0.35">
      <c r="A413" s="4">
        <v>20</v>
      </c>
      <c r="B413" s="116" t="str">
        <f>+Answers!D23</f>
        <v>Yes</v>
      </c>
      <c r="C413" s="215"/>
    </row>
    <row r="414" spans="1:3" x14ac:dyDescent="0.35">
      <c r="A414" s="4">
        <v>21</v>
      </c>
      <c r="B414" s="116" t="str">
        <f>+Answers!D24</f>
        <v>No</v>
      </c>
      <c r="C414" s="215"/>
    </row>
    <row r="415" spans="1:3" x14ac:dyDescent="0.35">
      <c r="A415" s="4">
        <v>22</v>
      </c>
      <c r="B415" s="116" t="str">
        <f>+Answers!D25</f>
        <v>Irrelevant</v>
      </c>
      <c r="C415" s="215"/>
    </row>
    <row r="416" spans="1:3" x14ac:dyDescent="0.35">
      <c r="A416" s="4">
        <v>23</v>
      </c>
      <c r="B416" s="116"/>
      <c r="C416" s="215"/>
    </row>
    <row r="417" spans="1:3" x14ac:dyDescent="0.35">
      <c r="A417" s="4">
        <v>24</v>
      </c>
      <c r="B417" s="116" t="str">
        <f>+Answers!D27</f>
        <v>Clear signing</v>
      </c>
      <c r="C417" s="215"/>
    </row>
    <row r="418" spans="1:3" x14ac:dyDescent="0.35">
      <c r="A418" s="4">
        <v>25</v>
      </c>
      <c r="B418" s="116" t="str">
        <f>+Answers!D28</f>
        <v>Incomplete signing</v>
      </c>
      <c r="C418" s="215"/>
    </row>
    <row r="419" spans="1:3" x14ac:dyDescent="0.35">
      <c r="A419" s="4">
        <v>26</v>
      </c>
      <c r="B419" s="116" t="str">
        <f>+Answers!D29</f>
        <v>No signing</v>
      </c>
      <c r="C419" s="215"/>
    </row>
    <row r="420" spans="1:3" x14ac:dyDescent="0.35">
      <c r="A420" s="4">
        <v>27</v>
      </c>
      <c r="B420" s="116"/>
      <c r="C420" s="215"/>
    </row>
    <row r="421" spans="1:3" x14ac:dyDescent="0.35">
      <c r="A421" s="4">
        <v>28</v>
      </c>
      <c r="B421" s="116" t="str">
        <f>+Answers!D31</f>
        <v>0%-2%</v>
      </c>
      <c r="C421" s="215"/>
    </row>
    <row r="422" spans="1:3" x14ac:dyDescent="0.35">
      <c r="A422" s="4">
        <v>29</v>
      </c>
      <c r="B422" s="116" t="str">
        <f>+Answers!D32</f>
        <v>2%-5%</v>
      </c>
      <c r="C422" s="215"/>
    </row>
    <row r="423" spans="1:3" x14ac:dyDescent="0.35">
      <c r="A423" s="4">
        <v>30</v>
      </c>
      <c r="B423" s="116" t="str">
        <f>+Answers!D33</f>
        <v>Above 5%</v>
      </c>
      <c r="C423" s="215"/>
    </row>
    <row r="424" spans="1:3" x14ac:dyDescent="0.35">
      <c r="A424" s="4">
        <v>31</v>
      </c>
      <c r="B424" s="116"/>
      <c r="C424" s="215"/>
    </row>
    <row r="425" spans="1:3" x14ac:dyDescent="0.35">
      <c r="A425" s="4">
        <v>32</v>
      </c>
      <c r="B425" s="116" t="str">
        <f>+Answers!D35</f>
        <v xml:space="preserve">Yes </v>
      </c>
      <c r="C425" s="215"/>
    </row>
    <row r="426" spans="1:3" x14ac:dyDescent="0.35">
      <c r="A426" s="4">
        <v>33</v>
      </c>
      <c r="B426" s="116" t="str">
        <f>+Answers!D36</f>
        <v>No protection</v>
      </c>
      <c r="C426" s="215"/>
    </row>
    <row r="427" spans="1:3" x14ac:dyDescent="0.35">
      <c r="A427" s="4">
        <v>34</v>
      </c>
      <c r="B427" s="116" t="str">
        <f>+Answers!D37</f>
        <v>No kerbs in entry/exit area</v>
      </c>
      <c r="C427" s="215"/>
    </row>
    <row r="428" spans="1:3" x14ac:dyDescent="0.35">
      <c r="A428" s="4">
        <v>35</v>
      </c>
      <c r="B428" s="116"/>
      <c r="C428" s="215"/>
    </row>
    <row r="429" spans="1:3" x14ac:dyDescent="0.35">
      <c r="A429" s="4">
        <v>36</v>
      </c>
      <c r="B429" s="116" t="str">
        <f>+Answers!D39</f>
        <v>Anti slip</v>
      </c>
      <c r="C429" s="215"/>
    </row>
    <row r="430" spans="1:3" x14ac:dyDescent="0.35">
      <c r="A430" s="4">
        <v>37</v>
      </c>
      <c r="B430" s="116" t="str">
        <f>+Answers!D40</f>
        <v>Slippery when wet</v>
      </c>
      <c r="C430" s="215"/>
    </row>
    <row r="431" spans="1:3" x14ac:dyDescent="0.35">
      <c r="A431" s="4">
        <v>38</v>
      </c>
      <c r="B431" s="116"/>
      <c r="C431" s="215"/>
    </row>
    <row r="432" spans="1:3" x14ac:dyDescent="0.35">
      <c r="A432" s="4">
        <v>39</v>
      </c>
      <c r="B432" s="116" t="str">
        <f>+Answers!D42</f>
        <v xml:space="preserve"> &lt; 3 m</v>
      </c>
      <c r="C432" s="215"/>
    </row>
    <row r="433" spans="1:3" x14ac:dyDescent="0.35">
      <c r="A433" s="4">
        <v>40</v>
      </c>
      <c r="B433" s="116" t="str">
        <f>+Answers!D43</f>
        <v>3m – 3.3m</v>
      </c>
      <c r="C433" s="215"/>
    </row>
    <row r="434" spans="1:3" x14ac:dyDescent="0.35">
      <c r="A434" s="4">
        <v>41</v>
      </c>
      <c r="B434" s="116" t="str">
        <f>+Answers!D44</f>
        <v xml:space="preserve"> &gt; 3.3m</v>
      </c>
      <c r="C434" s="215"/>
    </row>
    <row r="435" spans="1:3" x14ac:dyDescent="0.35">
      <c r="A435" s="4">
        <v>42</v>
      </c>
      <c r="B435" s="116"/>
      <c r="C435" s="215"/>
    </row>
    <row r="436" spans="1:3" x14ac:dyDescent="0.35">
      <c r="A436" s="4">
        <v>43</v>
      </c>
      <c r="B436" s="116" t="str">
        <f>+Answers!D46</f>
        <v>Pillar does not intrude into the parking area</v>
      </c>
      <c r="C436" s="215"/>
    </row>
    <row r="437" spans="1:3" x14ac:dyDescent="0.35">
      <c r="A437" s="4">
        <v>44</v>
      </c>
      <c r="B437" s="116" t="str">
        <f>+Answers!D47</f>
        <v>Pillar at beginning of stall</v>
      </c>
      <c r="C437" s="215"/>
    </row>
    <row r="438" spans="1:3" x14ac:dyDescent="0.35">
      <c r="A438" s="4">
        <v>45</v>
      </c>
      <c r="B438" s="116" t="str">
        <f>+Answers!D48</f>
        <v>Pillar next to car door</v>
      </c>
      <c r="C438" s="215"/>
    </row>
    <row r="439" spans="1:3" x14ac:dyDescent="0.35">
      <c r="A439" s="4">
        <v>46</v>
      </c>
      <c r="B439" s="116" t="str">
        <f>+Answers!D49</f>
        <v>Pillar at back of stall but intrudes into the parking area</v>
      </c>
      <c r="C439" s="215"/>
    </row>
    <row r="440" spans="1:3" x14ac:dyDescent="0.35">
      <c r="A440" s="4">
        <v>47</v>
      </c>
      <c r="B440" s="116"/>
      <c r="C440" s="215"/>
    </row>
    <row r="441" spans="1:3" x14ac:dyDescent="0.35">
      <c r="A441" s="4">
        <v>48</v>
      </c>
      <c r="B441" s="116" t="str">
        <f>+Answers!D51</f>
        <v>Good Quality</v>
      </c>
      <c r="C441" s="215"/>
    </row>
    <row r="442" spans="1:3" x14ac:dyDescent="0.35">
      <c r="A442" s="4">
        <v>49</v>
      </c>
      <c r="B442" s="116" t="str">
        <f>+Answers!D52</f>
        <v>Basic Quality</v>
      </c>
      <c r="C442" s="215"/>
    </row>
    <row r="443" spans="1:3" x14ac:dyDescent="0.35">
      <c r="A443" s="4">
        <v>50</v>
      </c>
      <c r="B443" s="116" t="str">
        <f>+Answers!D53</f>
        <v>None</v>
      </c>
      <c r="C443" s="215"/>
    </row>
    <row r="444" spans="1:3" x14ac:dyDescent="0.35">
      <c r="A444" s="4">
        <v>51</v>
      </c>
      <c r="B444" s="116" t="str">
        <f>+Answers!D54</f>
        <v>Irrelevant</v>
      </c>
      <c r="C444" s="215"/>
    </row>
    <row r="445" spans="1:3" x14ac:dyDescent="0.35">
      <c r="A445" s="4"/>
      <c r="B445" s="116"/>
      <c r="C445" s="215"/>
    </row>
    <row r="446" spans="1:3" x14ac:dyDescent="0.35">
      <c r="A446" s="4">
        <v>53</v>
      </c>
      <c r="B446" s="116" t="str">
        <f>+Answers!D56</f>
        <v>Good</v>
      </c>
      <c r="C446" s="215"/>
    </row>
    <row r="447" spans="1:3" x14ac:dyDescent="0.35">
      <c r="A447" s="4">
        <v>54</v>
      </c>
      <c r="B447" s="116" t="str">
        <f>+Answers!D57</f>
        <v>Medium</v>
      </c>
      <c r="C447" s="215"/>
    </row>
    <row r="448" spans="1:3" x14ac:dyDescent="0.35">
      <c r="A448" s="4">
        <v>55</v>
      </c>
      <c r="B448" s="116" t="str">
        <f>+Answers!D58</f>
        <v>Bad</v>
      </c>
      <c r="C448" s="215"/>
    </row>
    <row r="449" spans="1:3" x14ac:dyDescent="0.35">
      <c r="A449" s="4"/>
      <c r="B449" s="116"/>
      <c r="C449" s="215"/>
    </row>
    <row r="450" spans="1:3" x14ac:dyDescent="0.35">
      <c r="A450" s="4">
        <v>57</v>
      </c>
      <c r="B450" s="116" t="str">
        <f>+Answers!D60</f>
        <v>Angle 76°-90°</v>
      </c>
      <c r="C450" s="215"/>
    </row>
    <row r="451" spans="1:3" x14ac:dyDescent="0.35">
      <c r="A451" s="4">
        <v>58</v>
      </c>
      <c r="B451" s="116" t="str">
        <f>+Answers!D61</f>
        <v>Angle  45°-75°</v>
      </c>
      <c r="C451" s="215"/>
    </row>
    <row r="452" spans="1:3" x14ac:dyDescent="0.35">
      <c r="A452" s="4"/>
      <c r="B452" s="116"/>
      <c r="C452" s="215"/>
    </row>
    <row r="453" spans="1:3" x14ac:dyDescent="0.35">
      <c r="A453" s="4">
        <v>60</v>
      </c>
      <c r="B453" s="116" t="str">
        <f>+Answers!D63</f>
        <v xml:space="preserve"> 2.25 m - 2.30 m</v>
      </c>
      <c r="C453" s="215"/>
    </row>
    <row r="454" spans="1:3" x14ac:dyDescent="0.35">
      <c r="A454" s="4">
        <v>61</v>
      </c>
      <c r="B454" s="116" t="str">
        <f>+Answers!D64</f>
        <v xml:space="preserve"> 2.30 m - 2.35 m</v>
      </c>
      <c r="C454" s="215"/>
    </row>
    <row r="455" spans="1:3" x14ac:dyDescent="0.35">
      <c r="A455" s="4">
        <v>62</v>
      </c>
      <c r="B455" s="116" t="str">
        <f>+Answers!D65</f>
        <v xml:space="preserve"> 2.35 m - 2.40 m</v>
      </c>
      <c r="C455" s="215"/>
    </row>
    <row r="456" spans="1:3" x14ac:dyDescent="0.35">
      <c r="A456" s="4">
        <v>63</v>
      </c>
      <c r="B456" s="116" t="str">
        <f>+Answers!D66</f>
        <v xml:space="preserve"> 2.40 m - 2.45 m</v>
      </c>
      <c r="C456" s="215"/>
    </row>
    <row r="457" spans="1:3" x14ac:dyDescent="0.35">
      <c r="A457" s="4">
        <v>64</v>
      </c>
      <c r="B457" s="116" t="str">
        <f>+Answers!D67</f>
        <v xml:space="preserve"> 2.45 m - 2.50 m</v>
      </c>
      <c r="C457" s="215"/>
    </row>
    <row r="458" spans="1:3" x14ac:dyDescent="0.35">
      <c r="A458" s="4">
        <v>65</v>
      </c>
      <c r="B458" s="116" t="str">
        <f>+Answers!D68</f>
        <v xml:space="preserve"> above 2.50 m</v>
      </c>
      <c r="C458" s="215"/>
    </row>
    <row r="459" spans="1:3" x14ac:dyDescent="0.35">
      <c r="A459" s="4"/>
      <c r="B459" s="116"/>
      <c r="C459" s="215"/>
    </row>
    <row r="460" spans="1:3" x14ac:dyDescent="0.35">
      <c r="A460" s="4">
        <v>67</v>
      </c>
      <c r="B460" s="116" t="str">
        <f>+Answers!D70</f>
        <v>Compliant with the table</v>
      </c>
      <c r="C460" s="215"/>
    </row>
    <row r="461" spans="1:3" x14ac:dyDescent="0.35">
      <c r="A461" s="4">
        <v>68</v>
      </c>
      <c r="B461" s="116" t="str">
        <f>+Answers!D71</f>
        <v>Up to 30 cm less</v>
      </c>
      <c r="C461" s="215"/>
    </row>
    <row r="462" spans="1:3" x14ac:dyDescent="0.35">
      <c r="A462" s="4">
        <v>69</v>
      </c>
      <c r="B462" s="116" t="str">
        <f>+Answers!D72</f>
        <v>Up to 60 cm less</v>
      </c>
      <c r="C462" s="215"/>
    </row>
    <row r="463" spans="1:3" x14ac:dyDescent="0.35">
      <c r="A463" s="4">
        <v>70</v>
      </c>
      <c r="B463" s="116" t="str">
        <f>+Answers!D73</f>
        <v>More than 60 cm less</v>
      </c>
      <c r="C463" s="215"/>
    </row>
    <row r="464" spans="1:3" x14ac:dyDescent="0.35">
      <c r="A464" s="4"/>
      <c r="B464" s="116"/>
      <c r="C464" s="215"/>
    </row>
    <row r="465" spans="1:3" x14ac:dyDescent="0.35">
      <c r="A465" s="4">
        <v>72</v>
      </c>
      <c r="B465" s="116" t="str">
        <f>+Answers!D75</f>
        <v>Yes</v>
      </c>
      <c r="C465" s="215"/>
    </row>
    <row r="466" spans="1:3" x14ac:dyDescent="0.35">
      <c r="A466" s="4">
        <v>73</v>
      </c>
      <c r="B466" s="116" t="str">
        <f>+Answers!D76</f>
        <v>No Protection</v>
      </c>
      <c r="C466" s="215"/>
    </row>
    <row r="467" spans="1:3" x14ac:dyDescent="0.35">
      <c r="A467" s="4">
        <v>74</v>
      </c>
      <c r="B467" s="116" t="str">
        <f>+Answers!D77</f>
        <v>No Kerbs</v>
      </c>
      <c r="C467" s="215"/>
    </row>
    <row r="468" spans="1:3" x14ac:dyDescent="0.35">
      <c r="A468" s="4"/>
      <c r="B468" s="116"/>
      <c r="C468" s="215"/>
    </row>
    <row r="469" spans="1:3" x14ac:dyDescent="0.35">
      <c r="A469" s="4">
        <v>76</v>
      </c>
      <c r="B469" s="116" t="str">
        <f>+Answers!D79</f>
        <v>Anti-Slip</v>
      </c>
      <c r="C469" s="215"/>
    </row>
    <row r="470" spans="1:3" x14ac:dyDescent="0.35">
      <c r="A470" s="4">
        <v>77</v>
      </c>
      <c r="B470" s="116" t="str">
        <f>+Answers!D80</f>
        <v>Smooth</v>
      </c>
      <c r="C470" s="215"/>
    </row>
    <row r="471" spans="1:3" x14ac:dyDescent="0.35">
      <c r="A471" s="4">
        <v>78</v>
      </c>
      <c r="B471" s="116" t="str">
        <f>+Answers!D81</f>
        <v>No Ramps</v>
      </c>
      <c r="C471" s="215"/>
    </row>
    <row r="472" spans="1:3" x14ac:dyDescent="0.35">
      <c r="A472" s="4">
        <v>79</v>
      </c>
      <c r="B472" s="116"/>
      <c r="C472" s="215"/>
    </row>
    <row r="473" spans="1:3" x14ac:dyDescent="0.35">
      <c r="A473" s="4">
        <v>80</v>
      </c>
      <c r="B473" s="116" t="str">
        <f>+Answers!D83</f>
        <v>Less than 10%</v>
      </c>
      <c r="C473" s="215"/>
    </row>
    <row r="474" spans="1:3" x14ac:dyDescent="0.35">
      <c r="A474" s="4">
        <v>81</v>
      </c>
      <c r="B474" s="116" t="str">
        <f>+Answers!D84</f>
        <v>10-15%</v>
      </c>
      <c r="C474" s="215"/>
    </row>
    <row r="475" spans="1:3" x14ac:dyDescent="0.35">
      <c r="A475" s="4">
        <v>82</v>
      </c>
      <c r="B475" s="116" t="str">
        <f>+Answers!D85</f>
        <v>more than 15%</v>
      </c>
      <c r="C475" s="215"/>
    </row>
    <row r="476" spans="1:3" x14ac:dyDescent="0.35">
      <c r="A476" s="4">
        <v>83</v>
      </c>
      <c r="B476" s="116" t="str">
        <f>+Answers!D86</f>
        <v>No Ramps</v>
      </c>
      <c r="C476" s="215"/>
    </row>
    <row r="477" spans="1:3" x14ac:dyDescent="0.35">
      <c r="A477" s="4"/>
      <c r="B477" s="116"/>
      <c r="C477" s="215"/>
    </row>
    <row r="478" spans="1:3" x14ac:dyDescent="0.35">
      <c r="A478" s="4">
        <v>85</v>
      </c>
      <c r="B478" s="116" t="str">
        <f>+Answers!D88</f>
        <v>Less than 3m</v>
      </c>
      <c r="C478" s="215"/>
    </row>
    <row r="479" spans="1:3" x14ac:dyDescent="0.35">
      <c r="A479" s="4">
        <v>86</v>
      </c>
      <c r="B479" s="116" t="str">
        <f>+Answers!D89</f>
        <v>3m - 3.3m</v>
      </c>
      <c r="C479" s="215"/>
    </row>
    <row r="480" spans="1:3" x14ac:dyDescent="0.35">
      <c r="A480" s="4">
        <v>87</v>
      </c>
      <c r="B480" s="116" t="str">
        <f>+Answers!D90</f>
        <v>More than 3.3 m</v>
      </c>
      <c r="C480" s="215"/>
    </row>
    <row r="481" spans="1:3" x14ac:dyDescent="0.35">
      <c r="A481" s="4">
        <v>88</v>
      </c>
      <c r="B481" s="116" t="str">
        <f>+Answers!D91</f>
        <v>no ramps</v>
      </c>
      <c r="C481" s="215"/>
    </row>
    <row r="482" spans="1:3" x14ac:dyDescent="0.35">
      <c r="A482" s="4"/>
      <c r="B482" s="116"/>
      <c r="C482" s="215"/>
    </row>
    <row r="483" spans="1:3" x14ac:dyDescent="0.35">
      <c r="A483" s="4">
        <v>90</v>
      </c>
      <c r="B483" s="116" t="str">
        <f>+Answers!D93</f>
        <v>Less than 4m</v>
      </c>
      <c r="C483" s="215"/>
    </row>
    <row r="484" spans="1:3" x14ac:dyDescent="0.35">
      <c r="A484" s="4">
        <v>91</v>
      </c>
      <c r="B484" s="116" t="str">
        <f>+Answers!D94</f>
        <v>4m - 4.3m</v>
      </c>
      <c r="C484" s="215"/>
    </row>
    <row r="485" spans="1:3" x14ac:dyDescent="0.35">
      <c r="A485" s="4">
        <v>92</v>
      </c>
      <c r="B485" s="116" t="str">
        <f>+Answers!D95</f>
        <v>More than 4.3 m</v>
      </c>
      <c r="C485" s="215"/>
    </row>
    <row r="486" spans="1:3" x14ac:dyDescent="0.35">
      <c r="A486" s="4">
        <v>93</v>
      </c>
      <c r="B486" s="116" t="str">
        <f>+Answers!D96</f>
        <v>no ramps</v>
      </c>
      <c r="C486" s="215"/>
    </row>
    <row r="487" spans="1:3" x14ac:dyDescent="0.35">
      <c r="A487" s="4"/>
      <c r="B487" s="116"/>
      <c r="C487" s="215"/>
    </row>
    <row r="488" spans="1:3" x14ac:dyDescent="0.35">
      <c r="A488" s="4">
        <v>95</v>
      </c>
      <c r="B488" s="116" t="str">
        <f>+Answers!D98</f>
        <v>Less than 9m</v>
      </c>
      <c r="C488" s="215"/>
    </row>
    <row r="489" spans="1:3" x14ac:dyDescent="0.35">
      <c r="A489" s="4">
        <v>96</v>
      </c>
      <c r="B489" s="116" t="str">
        <f>+Answers!D99</f>
        <v>9m – 10m</v>
      </c>
      <c r="C489" s="215"/>
    </row>
    <row r="490" spans="1:3" x14ac:dyDescent="0.35">
      <c r="A490" s="4">
        <v>97</v>
      </c>
      <c r="B490" s="116" t="str">
        <f>+Answers!D100</f>
        <v>More than 10m</v>
      </c>
      <c r="C490" s="215"/>
    </row>
    <row r="491" spans="1:3" x14ac:dyDescent="0.35">
      <c r="A491" s="4">
        <v>98</v>
      </c>
      <c r="B491" s="116" t="str">
        <f>+Answers!D101</f>
        <v>no ramps</v>
      </c>
      <c r="C491" s="215"/>
    </row>
    <row r="492" spans="1:3" x14ac:dyDescent="0.35">
      <c r="A492" s="4"/>
      <c r="B492" s="116"/>
      <c r="C492" s="215"/>
    </row>
    <row r="493" spans="1:3" x14ac:dyDescent="0.35">
      <c r="A493" s="4">
        <v>100</v>
      </c>
      <c r="B493" s="116" t="str">
        <f>+Answers!D103</f>
        <v>Less than 7.5 m</v>
      </c>
      <c r="C493" s="215"/>
    </row>
    <row r="494" spans="1:3" x14ac:dyDescent="0.35">
      <c r="A494" s="4">
        <v>101</v>
      </c>
      <c r="B494" s="116" t="str">
        <f>+Answers!D104</f>
        <v>7.5 m to 9 m</v>
      </c>
      <c r="C494" s="215"/>
    </row>
    <row r="495" spans="1:3" x14ac:dyDescent="0.35">
      <c r="A495" s="4">
        <v>102</v>
      </c>
      <c r="B495" s="116" t="str">
        <f>+Answers!D105</f>
        <v>More than 9 m</v>
      </c>
      <c r="C495" s="215"/>
    </row>
    <row r="496" spans="1:3" x14ac:dyDescent="0.35">
      <c r="A496" s="4">
        <v>103</v>
      </c>
      <c r="B496" s="116" t="str">
        <f>+Answers!D106</f>
        <v>no ramps</v>
      </c>
      <c r="C496" s="215"/>
    </row>
    <row r="497" spans="1:3" x14ac:dyDescent="0.35">
      <c r="A497" s="4"/>
      <c r="B497" s="116"/>
      <c r="C497" s="215"/>
    </row>
    <row r="498" spans="1:3" x14ac:dyDescent="0.35">
      <c r="A498" s="4">
        <v>105</v>
      </c>
      <c r="B498" s="116" t="str">
        <f>+Answers!D108</f>
        <v>Less than 5%</v>
      </c>
      <c r="C498" s="215"/>
    </row>
    <row r="499" spans="1:3" x14ac:dyDescent="0.35">
      <c r="A499" s="4">
        <v>106</v>
      </c>
      <c r="B499" s="116" t="str">
        <f>+Answers!D109</f>
        <v>5% to 7%</v>
      </c>
      <c r="C499" s="215"/>
    </row>
    <row r="500" spans="1:3" x14ac:dyDescent="0.35">
      <c r="A500" s="4">
        <v>107</v>
      </c>
      <c r="B500" s="116" t="str">
        <f>+Answers!D110</f>
        <v>More than 7%</v>
      </c>
      <c r="C500" s="215"/>
    </row>
    <row r="501" spans="1:3" x14ac:dyDescent="0.35">
      <c r="A501" s="4">
        <v>108</v>
      </c>
      <c r="B501" s="116" t="str">
        <f>+Answers!D111</f>
        <v>No Gradient</v>
      </c>
      <c r="C501" s="215"/>
    </row>
    <row r="502" spans="1:3" x14ac:dyDescent="0.35">
      <c r="A502" s="4"/>
      <c r="B502" s="116"/>
      <c r="C502" s="215"/>
    </row>
    <row r="503" spans="1:3" x14ac:dyDescent="0.35">
      <c r="A503" s="4">
        <v>110</v>
      </c>
      <c r="B503" s="116" t="str">
        <f>+Answers!D113</f>
        <v>Less than 2.00m</v>
      </c>
      <c r="C503" s="215"/>
    </row>
    <row r="504" spans="1:3" x14ac:dyDescent="0.35">
      <c r="A504" s="4">
        <v>111</v>
      </c>
      <c r="B504" s="116" t="str">
        <f>+Answers!D114</f>
        <v>2.00m – 2.10m</v>
      </c>
      <c r="C504" s="215"/>
    </row>
    <row r="505" spans="1:3" x14ac:dyDescent="0.35">
      <c r="A505" s="4">
        <v>112</v>
      </c>
      <c r="B505" s="116" t="str">
        <f>+Answers!D115</f>
        <v>2.10m – 2.20m</v>
      </c>
      <c r="C505" s="215"/>
    </row>
    <row r="506" spans="1:3" x14ac:dyDescent="0.35">
      <c r="A506" s="4">
        <v>113</v>
      </c>
      <c r="B506" s="116" t="str">
        <f>+Answers!D116</f>
        <v>More than 2.20m</v>
      </c>
      <c r="C506" s="215"/>
    </row>
    <row r="507" spans="1:3" x14ac:dyDescent="0.35">
      <c r="A507" s="4"/>
      <c r="B507" s="116"/>
      <c r="C507" s="215"/>
    </row>
    <row r="508" spans="1:3" x14ac:dyDescent="0.35">
      <c r="A508" s="4">
        <v>115</v>
      </c>
      <c r="B508" s="116" t="str">
        <f>+Answers!D118</f>
        <v>Yes (automatic or open connection)</v>
      </c>
      <c r="C508" s="215"/>
    </row>
    <row r="509" spans="1:3" x14ac:dyDescent="0.35">
      <c r="A509" s="4">
        <v>116</v>
      </c>
      <c r="B509" s="116" t="str">
        <f>+Answers!D119</f>
        <v>Easy to Open</v>
      </c>
      <c r="C509" s="215"/>
    </row>
    <row r="510" spans="1:3" x14ac:dyDescent="0.35">
      <c r="A510" s="4">
        <v>117</v>
      </c>
      <c r="B510" s="116" t="str">
        <f>+Answers!D120</f>
        <v>No</v>
      </c>
      <c r="C510" s="215"/>
    </row>
    <row r="511" spans="1:3" x14ac:dyDescent="0.35">
      <c r="A511" s="4"/>
      <c r="B511" s="116"/>
      <c r="C511" s="215"/>
    </row>
    <row r="512" spans="1:3" x14ac:dyDescent="0.35">
      <c r="A512" s="4">
        <v>119</v>
      </c>
      <c r="B512" s="116" t="str">
        <f>+Answers!D122</f>
        <v>One elevator</v>
      </c>
      <c r="C512" s="215"/>
    </row>
    <row r="513" spans="1:3" x14ac:dyDescent="0.35">
      <c r="A513" s="4">
        <v>120</v>
      </c>
      <c r="B513" s="116" t="str">
        <f>+Answers!D123</f>
        <v>Two or more elevators</v>
      </c>
      <c r="C513" s="215"/>
    </row>
    <row r="514" spans="1:3" x14ac:dyDescent="0.35">
      <c r="A514" s="4"/>
      <c r="B514" s="116"/>
      <c r="C514" s="215"/>
    </row>
    <row r="515" spans="1:3" x14ac:dyDescent="0.35">
      <c r="A515" s="4">
        <v>122</v>
      </c>
      <c r="B515" s="116" t="str">
        <f>+Answers!D125</f>
        <v>More Than 8 People</v>
      </c>
      <c r="C515" s="215"/>
    </row>
    <row r="516" spans="1:3" x14ac:dyDescent="0.35">
      <c r="A516" s="4">
        <v>123</v>
      </c>
      <c r="B516" s="116" t="str">
        <f>+Answers!D126</f>
        <v>4 to 8 people</v>
      </c>
      <c r="C516" s="215"/>
    </row>
    <row r="517" spans="1:3" x14ac:dyDescent="0.35">
      <c r="A517" s="4">
        <v>124</v>
      </c>
      <c r="B517" s="116" t="str">
        <f>+Answers!D127</f>
        <v>Less Than 4</v>
      </c>
      <c r="C517" s="215"/>
    </row>
    <row r="518" spans="1:3" x14ac:dyDescent="0.35">
      <c r="A518" s="4"/>
      <c r="B518" s="116"/>
      <c r="C518" s="215"/>
    </row>
    <row r="519" spans="1:3" x14ac:dyDescent="0.35">
      <c r="A519" s="4">
        <v>126</v>
      </c>
      <c r="B519" s="116" t="str">
        <f>+Answers!D129</f>
        <v>no visibility from elevator</v>
      </c>
      <c r="C519" s="215"/>
    </row>
    <row r="520" spans="1:3" x14ac:dyDescent="0.35">
      <c r="A520" s="4">
        <v>127</v>
      </c>
      <c r="B520" s="116" t="str">
        <f>+Answers!D130</f>
        <v>glazed doors/walls</v>
      </c>
      <c r="C520" s="215"/>
    </row>
    <row r="521" spans="1:3" x14ac:dyDescent="0.35">
      <c r="A521" s="4">
        <v>128</v>
      </c>
      <c r="B521" s="116" t="str">
        <f>+Answers!D131</f>
        <v>no elevator</v>
      </c>
      <c r="C521" s="215"/>
    </row>
    <row r="522" spans="1:3" x14ac:dyDescent="0.35">
      <c r="A522" s="4"/>
      <c r="B522" s="116"/>
      <c r="C522" s="215"/>
    </row>
    <row r="523" spans="1:3" x14ac:dyDescent="0.35">
      <c r="A523" s="4">
        <v>130</v>
      </c>
      <c r="B523" s="116" t="str">
        <f>+Answers!D133</f>
        <v>Less than 1.5 m</v>
      </c>
      <c r="C523" s="215"/>
    </row>
    <row r="524" spans="1:3" x14ac:dyDescent="0.35">
      <c r="A524" s="4">
        <v>131</v>
      </c>
      <c r="B524" s="116" t="str">
        <f>+Answers!D134</f>
        <v>More than 1.5 m</v>
      </c>
      <c r="C524" s="215"/>
    </row>
    <row r="525" spans="1:3" x14ac:dyDescent="0.35">
      <c r="A525" s="4"/>
      <c r="B525" s="116"/>
      <c r="C525" s="215"/>
    </row>
    <row r="526" spans="1:3" x14ac:dyDescent="0.35">
      <c r="A526" s="4">
        <v>133</v>
      </c>
      <c r="B526" s="116" t="str">
        <f>+Answers!D136</f>
        <v>Less than 90 cm</v>
      </c>
      <c r="C526" s="215"/>
    </row>
    <row r="527" spans="1:3" x14ac:dyDescent="0.35">
      <c r="A527" s="4">
        <v>134</v>
      </c>
      <c r="B527" s="116" t="str">
        <f>+Answers!D137</f>
        <v>More than 90 cm</v>
      </c>
      <c r="C527" s="215"/>
    </row>
    <row r="528" spans="1:3" x14ac:dyDescent="0.35">
      <c r="A528" s="4"/>
      <c r="B528" s="116"/>
      <c r="C528" s="215"/>
    </row>
    <row r="529" spans="1:3" x14ac:dyDescent="0.35">
      <c r="A529" s="4">
        <v>136</v>
      </c>
      <c r="B529" s="116" t="str">
        <f>+Answers!D139</f>
        <v>Glazed door/wall</v>
      </c>
      <c r="C529" s="215"/>
    </row>
    <row r="530" spans="1:3" x14ac:dyDescent="0.35">
      <c r="A530" s="4">
        <v>137</v>
      </c>
      <c r="B530" s="116" t="str">
        <f>+Answers!D140</f>
        <v>No Glass</v>
      </c>
      <c r="C530" s="215"/>
    </row>
    <row r="531" spans="1:3" x14ac:dyDescent="0.35">
      <c r="A531" s="4"/>
      <c r="B531" s="116"/>
      <c r="C531" s="215"/>
    </row>
    <row r="532" spans="1:3" x14ac:dyDescent="0.35">
      <c r="A532" s="4">
        <v>139</v>
      </c>
      <c r="B532" s="116" t="str">
        <f>+Answers!D142</f>
        <v>No hand rail</v>
      </c>
      <c r="C532" s="215"/>
    </row>
    <row r="533" spans="1:3" x14ac:dyDescent="0.35">
      <c r="A533" s="4">
        <v>140</v>
      </c>
      <c r="B533" s="116" t="str">
        <f>+Answers!D143</f>
        <v>One Side</v>
      </c>
      <c r="C533" s="215"/>
    </row>
    <row r="534" spans="1:3" x14ac:dyDescent="0.35">
      <c r="A534" s="4">
        <v>141</v>
      </c>
      <c r="B534" s="116" t="str">
        <f>+Answers!D144</f>
        <v>Two sides</v>
      </c>
      <c r="C534" s="215"/>
    </row>
    <row r="535" spans="1:3" x14ac:dyDescent="0.35">
      <c r="A535" s="4"/>
      <c r="B535" s="116"/>
      <c r="C535" s="215"/>
    </row>
    <row r="536" spans="1:3" x14ac:dyDescent="0.35">
      <c r="A536" s="4">
        <v>143</v>
      </c>
      <c r="B536" s="116" t="str">
        <f>+Answers!D146</f>
        <v>window/grilled</v>
      </c>
      <c r="C536" s="215"/>
    </row>
    <row r="537" spans="1:3" x14ac:dyDescent="0.35">
      <c r="A537" s="4">
        <v>144</v>
      </c>
      <c r="B537" s="116" t="str">
        <f>+Answers!D147</f>
        <v>none</v>
      </c>
      <c r="C537" s="215"/>
    </row>
    <row r="538" spans="1:3" x14ac:dyDescent="0.35">
      <c r="A538" s="4"/>
      <c r="B538" s="116"/>
      <c r="C538" s="215"/>
    </row>
    <row r="539" spans="1:3" x14ac:dyDescent="0.35">
      <c r="A539" s="4">
        <v>146</v>
      </c>
      <c r="B539" s="116" t="str">
        <f>+Answers!D149</f>
        <v>24*7</v>
      </c>
      <c r="C539" s="215"/>
    </row>
    <row r="540" spans="1:3" x14ac:dyDescent="0.35">
      <c r="A540" s="4">
        <v>147</v>
      </c>
      <c r="B540" s="116" t="str">
        <f>+Answers!D150</f>
        <v>All access hours if not 24*7</v>
      </c>
      <c r="C540" s="215"/>
    </row>
    <row r="541" spans="1:3" x14ac:dyDescent="0.35">
      <c r="A541" s="4">
        <v>148</v>
      </c>
      <c r="B541" s="116" t="str">
        <f>+Answers!D151</f>
        <v>Part time/not available</v>
      </c>
      <c r="C541" s="215"/>
    </row>
    <row r="542" spans="1:3" x14ac:dyDescent="0.35">
      <c r="A542" s="4"/>
      <c r="B542" s="116"/>
      <c r="C542" s="215"/>
    </row>
    <row r="543" spans="1:3" x14ac:dyDescent="0.35">
      <c r="A543" s="4">
        <v>150</v>
      </c>
      <c r="B543" s="116" t="str">
        <f>+Answers!D153</f>
        <v>24*7</v>
      </c>
      <c r="C543" s="215"/>
    </row>
    <row r="544" spans="1:3" x14ac:dyDescent="0.35">
      <c r="A544" s="4">
        <v>151</v>
      </c>
      <c r="B544" s="116" t="str">
        <f>+Answers!D154</f>
        <v>During access Hours</v>
      </c>
      <c r="C544" s="215"/>
    </row>
    <row r="545" spans="1:3" x14ac:dyDescent="0.35">
      <c r="A545" s="4">
        <v>152</v>
      </c>
      <c r="B545" s="116" t="str">
        <f>+Answers!D155</f>
        <v>Less than access Hours</v>
      </c>
      <c r="C545" s="215"/>
    </row>
    <row r="546" spans="1:3" x14ac:dyDescent="0.35">
      <c r="A546" s="4">
        <v>153</v>
      </c>
      <c r="B546" s="116" t="str">
        <f>+Answers!D156</f>
        <v>No</v>
      </c>
      <c r="C546" s="215"/>
    </row>
    <row r="547" spans="1:3" x14ac:dyDescent="0.35">
      <c r="A547" s="4"/>
      <c r="B547" s="116"/>
      <c r="C547" s="215"/>
    </row>
    <row r="548" spans="1:3" x14ac:dyDescent="0.35">
      <c r="A548" s="4">
        <v>155</v>
      </c>
      <c r="B548" s="116" t="str">
        <f>+Answers!D158</f>
        <v>Closed gate/rolling shutter  after access hours</v>
      </c>
      <c r="C548" s="215"/>
    </row>
    <row r="549" spans="1:3" x14ac:dyDescent="0.35">
      <c r="A549" s="4">
        <v>156</v>
      </c>
      <c r="B549" s="116" t="str">
        <f>+Answers!D159</f>
        <v>Secured: fast opening gate during day</v>
      </c>
      <c r="C549" s="215"/>
    </row>
    <row r="550" spans="1:3" x14ac:dyDescent="0.35">
      <c r="A550" s="4">
        <v>157</v>
      </c>
      <c r="B550" s="116" t="str">
        <f>+Answers!D160</f>
        <v>Secured: slow opening gate during day</v>
      </c>
      <c r="C550" s="215"/>
    </row>
    <row r="551" spans="1:3" x14ac:dyDescent="0.35">
      <c r="A551" s="4">
        <v>158</v>
      </c>
      <c r="B551" s="116" t="str">
        <f>+Answers!D161</f>
        <v>No provisions</v>
      </c>
      <c r="C551" s="215"/>
    </row>
    <row r="552" spans="1:3" x14ac:dyDescent="0.35">
      <c r="A552" s="4"/>
      <c r="B552" s="116"/>
      <c r="C552" s="215"/>
    </row>
    <row r="553" spans="1:3" x14ac:dyDescent="0.35">
      <c r="A553" s="4">
        <v>160</v>
      </c>
      <c r="B553" s="116" t="str">
        <f>+Answers!D163</f>
        <v>Maximum Aperture Door/gate/rolling shutter &lt;= 15cm</v>
      </c>
      <c r="C553" s="215"/>
    </row>
    <row r="554" spans="1:3" x14ac:dyDescent="0.35">
      <c r="A554" s="4">
        <v>161</v>
      </c>
      <c r="B554" s="116" t="str">
        <f>+Answers!D164</f>
        <v>Maximum Aperture Door/gate/rolling shutter &gt; 15cm</v>
      </c>
      <c r="C554" s="215"/>
    </row>
    <row r="555" spans="1:3" x14ac:dyDescent="0.35">
      <c r="A555" s="4">
        <v>162</v>
      </c>
      <c r="B555" s="116" t="str">
        <f>+Answers!D165</f>
        <v>no provisions</v>
      </c>
      <c r="C555" s="215"/>
    </row>
    <row r="556" spans="1:3" x14ac:dyDescent="0.35">
      <c r="A556" s="4">
        <v>163</v>
      </c>
      <c r="B556" s="116" t="str">
        <f>+Answers!D166</f>
        <v>Irrelevant (24 hours opening)</v>
      </c>
      <c r="C556" s="215"/>
    </row>
    <row r="557" spans="1:3" x14ac:dyDescent="0.35">
      <c r="A557" s="4"/>
      <c r="B557" s="116"/>
      <c r="C557" s="215"/>
    </row>
    <row r="558" spans="1:3" x14ac:dyDescent="0.35">
      <c r="A558" s="4">
        <v>165</v>
      </c>
      <c r="B558" s="116" t="str">
        <f>+Answers!D168</f>
        <v>Less than 15 cm 15 cm</v>
      </c>
      <c r="C558" s="215"/>
    </row>
    <row r="559" spans="1:3" x14ac:dyDescent="0.35">
      <c r="A559" s="4">
        <v>166</v>
      </c>
      <c r="B559" s="116" t="str">
        <f>+Answers!D169</f>
        <v>More than 15 cm or no protection</v>
      </c>
      <c r="C559" s="215"/>
    </row>
    <row r="560" spans="1:3" x14ac:dyDescent="0.35">
      <c r="A560" s="4">
        <v>167</v>
      </c>
      <c r="B560" s="116" t="str">
        <f>+Answers!D170</f>
        <v>Irrelevant (no external openings)</v>
      </c>
      <c r="C560" s="215"/>
    </row>
    <row r="561" spans="1:3" x14ac:dyDescent="0.35">
      <c r="A561" s="4"/>
      <c r="B561" s="116"/>
      <c r="C561" s="215"/>
    </row>
    <row r="562" spans="1:3" x14ac:dyDescent="0.35">
      <c r="A562" s="4">
        <v>169</v>
      </c>
      <c r="B562" s="116" t="str">
        <f>+Answers!D172</f>
        <v>Yes/Good</v>
      </c>
      <c r="C562" s="215"/>
    </row>
    <row r="563" spans="1:3" x14ac:dyDescent="0.35">
      <c r="A563" s="4">
        <v>170</v>
      </c>
      <c r="B563" s="116" t="str">
        <f>+Answers!D173</f>
        <v>No/Bad</v>
      </c>
      <c r="C563" s="215"/>
    </row>
    <row r="564" spans="1:3" x14ac:dyDescent="0.35">
      <c r="A564" s="4"/>
      <c r="B564" s="116"/>
      <c r="C564" s="215"/>
    </row>
    <row r="565" spans="1:3" x14ac:dyDescent="0.35">
      <c r="A565" s="4">
        <v>172</v>
      </c>
      <c r="B565" s="116" t="str">
        <f>+Answers!D175</f>
        <v>Good</v>
      </c>
      <c r="C565" s="215"/>
    </row>
    <row r="566" spans="1:3" x14ac:dyDescent="0.35">
      <c r="A566" s="4">
        <v>173</v>
      </c>
      <c r="B566" s="116" t="str">
        <f>+Answers!D176</f>
        <v>Adequate</v>
      </c>
      <c r="C566" s="215"/>
    </row>
    <row r="567" spans="1:3" x14ac:dyDescent="0.35">
      <c r="A567" s="4">
        <v>174</v>
      </c>
      <c r="B567" s="116" t="str">
        <f>+Answers!D177</f>
        <v>Poor</v>
      </c>
      <c r="C567" s="215"/>
    </row>
    <row r="568" spans="1:3" x14ac:dyDescent="0.35">
      <c r="A568" s="4">
        <v>175</v>
      </c>
      <c r="B568" s="116" t="str">
        <f>+Answers!D178</f>
        <v>No</v>
      </c>
      <c r="C568" s="215"/>
    </row>
    <row r="569" spans="1:3" x14ac:dyDescent="0.35">
      <c r="A569" s="4"/>
      <c r="B569" s="116"/>
      <c r="C569" s="215"/>
    </row>
    <row r="570" spans="1:3" x14ac:dyDescent="0.35">
      <c r="A570" s="4">
        <v>177</v>
      </c>
      <c r="B570" s="116" t="str">
        <f>+Answers!D180</f>
        <v>Clear from all locations</v>
      </c>
      <c r="C570" s="215"/>
    </row>
    <row r="571" spans="1:3" x14ac:dyDescent="0.35">
      <c r="A571" s="4">
        <v>178</v>
      </c>
      <c r="B571" s="116" t="str">
        <f>+Answers!D181</f>
        <v>Clear from most locations</v>
      </c>
      <c r="C571" s="215"/>
    </row>
    <row r="572" spans="1:3" x14ac:dyDescent="0.35">
      <c r="A572" s="4">
        <v>179</v>
      </c>
      <c r="B572" s="116" t="str">
        <f>+Answers!D182</f>
        <v>Clear from some locations</v>
      </c>
      <c r="C572" s="215"/>
    </row>
    <row r="573" spans="1:3" x14ac:dyDescent="0.35">
      <c r="A573" s="4">
        <v>180</v>
      </c>
      <c r="B573" s="116" t="str">
        <f>+Answers!D183</f>
        <v>No marking of escape routes</v>
      </c>
      <c r="C573" s="215"/>
    </row>
    <row r="574" spans="1:3" x14ac:dyDescent="0.35">
      <c r="A574" s="4"/>
      <c r="B574" s="116"/>
      <c r="C574" s="215"/>
    </row>
    <row r="575" spans="1:3" x14ac:dyDescent="0.35">
      <c r="A575" s="4">
        <v>182</v>
      </c>
      <c r="B575" s="116" t="str">
        <f>+Answers!D185</f>
        <v>Good</v>
      </c>
      <c r="C575" s="215"/>
    </row>
    <row r="576" spans="1:3" x14ac:dyDescent="0.35">
      <c r="A576" s="4">
        <v>183</v>
      </c>
      <c r="B576" s="116" t="str">
        <f>+Answers!D186</f>
        <v>Adequate</v>
      </c>
      <c r="C576" s="215"/>
    </row>
    <row r="577" spans="1:3" x14ac:dyDescent="0.35">
      <c r="A577" s="4">
        <v>184</v>
      </c>
      <c r="B577" s="116" t="str">
        <f>+Answers!D187</f>
        <v>Poor</v>
      </c>
      <c r="C577" s="215"/>
    </row>
    <row r="578" spans="1:3" x14ac:dyDescent="0.35">
      <c r="A578" s="4">
        <v>185</v>
      </c>
      <c r="B578" s="116" t="str">
        <f>+Answers!D188</f>
        <v>None</v>
      </c>
      <c r="C578" s="215"/>
    </row>
    <row r="579" spans="1:3" x14ac:dyDescent="0.35">
      <c r="A579" s="4">
        <v>186</v>
      </c>
      <c r="B579" s="116" t="str">
        <f>+Answers!D189</f>
        <v>Single Level Car Park</v>
      </c>
      <c r="C579" s="215"/>
    </row>
    <row r="580" spans="1:3" x14ac:dyDescent="0.35">
      <c r="A580" s="4"/>
      <c r="B580" s="116"/>
      <c r="C580" s="215"/>
    </row>
    <row r="581" spans="1:3" x14ac:dyDescent="0.35">
      <c r="A581" s="4">
        <v>188</v>
      </c>
      <c r="B581" s="116" t="str">
        <f>+Answers!D191</f>
        <v>Good</v>
      </c>
      <c r="C581" s="215"/>
    </row>
    <row r="582" spans="1:3" x14ac:dyDescent="0.35">
      <c r="A582" s="4">
        <v>189</v>
      </c>
      <c r="B582" s="116" t="str">
        <f>+Answers!D192</f>
        <v>Some</v>
      </c>
      <c r="C582" s="215"/>
    </row>
    <row r="583" spans="1:3" x14ac:dyDescent="0.35">
      <c r="A583" s="4">
        <v>190</v>
      </c>
      <c r="B583" s="116" t="str">
        <f>+Answers!D193</f>
        <v>None</v>
      </c>
      <c r="C583" s="215"/>
    </row>
    <row r="584" spans="1:3" x14ac:dyDescent="0.35">
      <c r="A584" s="4"/>
      <c r="B584" s="116"/>
      <c r="C584" s="215"/>
    </row>
    <row r="585" spans="1:3" x14ac:dyDescent="0.35">
      <c r="A585" s="4">
        <v>192</v>
      </c>
      <c r="B585" s="116" t="str">
        <f>+Answers!D195</f>
        <v>Numbered including floor identification</v>
      </c>
      <c r="C585" s="215"/>
    </row>
    <row r="586" spans="1:3" x14ac:dyDescent="0.35">
      <c r="A586" s="4">
        <v>193</v>
      </c>
      <c r="B586" s="116" t="str">
        <f>+Answers!D196</f>
        <v>Just numbers</v>
      </c>
      <c r="C586" s="215"/>
    </row>
    <row r="587" spans="1:3" x14ac:dyDescent="0.35">
      <c r="A587" s="4">
        <v>194</v>
      </c>
      <c r="B587" s="116" t="str">
        <f>+Answers!D197</f>
        <v>None</v>
      </c>
      <c r="C587" s="215"/>
    </row>
    <row r="588" spans="1:3" x14ac:dyDescent="0.35">
      <c r="A588" s="4"/>
      <c r="B588" s="116"/>
      <c r="C588" s="215"/>
    </row>
    <row r="589" spans="1:3" x14ac:dyDescent="0.35">
      <c r="A589" s="4">
        <v>196</v>
      </c>
      <c r="B589" s="116" t="str">
        <f>+Answers!D199</f>
        <v>Available Spaces</v>
      </c>
      <c r="C589" s="215"/>
    </row>
    <row r="590" spans="1:3" x14ac:dyDescent="0.35">
      <c r="A590" s="4">
        <v>197</v>
      </c>
      <c r="B590" s="116" t="str">
        <f>+Answers!D200</f>
        <v>Full/Free</v>
      </c>
      <c r="C590" s="215"/>
    </row>
    <row r="591" spans="1:3" x14ac:dyDescent="0.35">
      <c r="A591" s="4">
        <v>198</v>
      </c>
      <c r="B591" s="116" t="str">
        <f>+Answers!D201</f>
        <v>No</v>
      </c>
      <c r="C591" s="215"/>
    </row>
    <row r="592" spans="1:3" x14ac:dyDescent="0.35">
      <c r="A592" s="4"/>
      <c r="B592" s="116"/>
      <c r="C592" s="215"/>
    </row>
    <row r="593" spans="1:3" x14ac:dyDescent="0.35">
      <c r="A593" s="4">
        <v>200</v>
      </c>
      <c r="B593" s="116" t="str">
        <f>+Answers!D203</f>
        <v>On every pedestrian exit</v>
      </c>
      <c r="C593" s="215"/>
    </row>
    <row r="594" spans="1:3" x14ac:dyDescent="0.35">
      <c r="A594" s="4">
        <v>201</v>
      </c>
      <c r="B594" s="116" t="str">
        <f>+Answers!D204</f>
        <v>One Location</v>
      </c>
      <c r="C594" s="215"/>
    </row>
    <row r="595" spans="1:3" x14ac:dyDescent="0.35">
      <c r="A595" s="4">
        <v>202</v>
      </c>
      <c r="B595" s="116" t="str">
        <f>+Answers!D205</f>
        <v>No</v>
      </c>
      <c r="C595" s="215"/>
    </row>
    <row r="596" spans="1:3" x14ac:dyDescent="0.35">
      <c r="A596" s="4"/>
      <c r="B596" s="116"/>
      <c r="C596" s="215"/>
    </row>
    <row r="597" spans="1:3" x14ac:dyDescent="0.35">
      <c r="A597" s="4">
        <v>204</v>
      </c>
      <c r="B597" s="116" t="str">
        <f>+Answers!D207</f>
        <v>Yes</v>
      </c>
      <c r="C597" s="215"/>
    </row>
    <row r="598" spans="1:3" x14ac:dyDescent="0.35">
      <c r="A598" s="4">
        <v>205</v>
      </c>
      <c r="B598" s="116" t="str">
        <f>+Answers!D208</f>
        <v>No</v>
      </c>
      <c r="C598" s="215"/>
    </row>
    <row r="599" spans="1:3" x14ac:dyDescent="0.35">
      <c r="A599" s="4">
        <v>206</v>
      </c>
      <c r="B599" s="116" t="str">
        <f>+Answers!D209</f>
        <v>ANPR attached to bank account</v>
      </c>
      <c r="C599" s="215"/>
    </row>
    <row r="600" spans="1:3" x14ac:dyDescent="0.35">
      <c r="A600" s="4"/>
      <c r="B600" s="116"/>
      <c r="C600" s="215"/>
    </row>
    <row r="601" spans="1:3" x14ac:dyDescent="0.35">
      <c r="A601" s="4">
        <v>208</v>
      </c>
      <c r="B601" s="116" t="str">
        <f>+Answers!D211</f>
        <v>One pay station</v>
      </c>
      <c r="C601" s="215"/>
    </row>
    <row r="602" spans="1:3" x14ac:dyDescent="0.35">
      <c r="A602" s="4">
        <v>209</v>
      </c>
      <c r="B602" s="116" t="str">
        <f>+Answers!D212</f>
        <v>More than one</v>
      </c>
      <c r="C602" s="215"/>
    </row>
    <row r="603" spans="1:3" x14ac:dyDescent="0.35">
      <c r="A603" s="4">
        <v>210</v>
      </c>
      <c r="B603" s="116" t="str">
        <f>+Answers!D213</f>
        <v>One at each pedestrian entrance</v>
      </c>
      <c r="C603" s="215"/>
    </row>
    <row r="604" spans="1:3" x14ac:dyDescent="0.35">
      <c r="A604" s="4">
        <v>211</v>
      </c>
      <c r="B604" s="116" t="str">
        <f>+Answers!D214</f>
        <v>More than one at each pedestrian entrance</v>
      </c>
      <c r="C604" s="215"/>
    </row>
    <row r="605" spans="1:3" x14ac:dyDescent="0.35">
      <c r="A605" s="4"/>
      <c r="B605" s="116"/>
      <c r="C605" s="215"/>
    </row>
    <row r="606" spans="1:3" x14ac:dyDescent="0.35">
      <c r="A606" s="4">
        <v>213</v>
      </c>
      <c r="B606" s="116" t="str">
        <f>+Answers!D216</f>
        <v>One</v>
      </c>
      <c r="C606" s="215"/>
    </row>
    <row r="607" spans="1:3" x14ac:dyDescent="0.35">
      <c r="A607" s="4">
        <v>214</v>
      </c>
      <c r="B607" s="116" t="str">
        <f>+Answers!D217</f>
        <v>Less than 1 for every 50 spaces</v>
      </c>
      <c r="C607" s="215"/>
    </row>
    <row r="608" spans="1:3" x14ac:dyDescent="0.35">
      <c r="A608" s="4">
        <v>215</v>
      </c>
      <c r="B608" s="116" t="str">
        <f>+Answers!D218</f>
        <v>More than 1 for every 50 spaces</v>
      </c>
      <c r="C608" s="215"/>
    </row>
    <row r="609" spans="1:3" x14ac:dyDescent="0.35">
      <c r="A609" s="4"/>
      <c r="B609" s="116"/>
      <c r="C609" s="215"/>
    </row>
    <row r="610" spans="1:3" x14ac:dyDescent="0.35">
      <c r="A610" s="4">
        <v>217</v>
      </c>
      <c r="B610" s="116" t="str">
        <f>+Answers!D220</f>
        <v>Unisex</v>
      </c>
      <c r="C610" s="215"/>
    </row>
    <row r="611" spans="1:3" x14ac:dyDescent="0.35">
      <c r="A611" s="4">
        <v>218</v>
      </c>
      <c r="B611" s="116" t="str">
        <f>+Answers!D221</f>
        <v>Male/Female Separated</v>
      </c>
      <c r="C611" s="215"/>
    </row>
    <row r="612" spans="1:3" x14ac:dyDescent="0.35">
      <c r="A612" s="4"/>
      <c r="B612" s="116"/>
      <c r="C612" s="215"/>
    </row>
    <row r="613" spans="1:3" x14ac:dyDescent="0.35">
      <c r="A613" s="4">
        <v>220</v>
      </c>
      <c r="B613" s="116" t="str">
        <f>+Answers!D223</f>
        <v>Coloured pillars</v>
      </c>
      <c r="C613" s="215"/>
    </row>
    <row r="614" spans="1:3" x14ac:dyDescent="0.35">
      <c r="A614" s="4">
        <v>221</v>
      </c>
      <c r="B614" s="116" t="str">
        <f>+Answers!D224</f>
        <v>No/Concrete grey</v>
      </c>
      <c r="C614" s="215"/>
    </row>
    <row r="615" spans="1:3" x14ac:dyDescent="0.35">
      <c r="A615" s="4"/>
      <c r="B615" s="116"/>
      <c r="C615" s="215"/>
    </row>
    <row r="616" spans="1:3" x14ac:dyDescent="0.35">
      <c r="A616" s="4">
        <v>223</v>
      </c>
      <c r="B616" s="116" t="str">
        <f>+Answers!D226</f>
        <v>Coloured walls</v>
      </c>
      <c r="C616" s="215"/>
    </row>
    <row r="617" spans="1:3" x14ac:dyDescent="0.35">
      <c r="A617" s="4">
        <v>224</v>
      </c>
      <c r="B617" s="116" t="str">
        <f>+Answers!D227</f>
        <v>No/Concrete grey</v>
      </c>
      <c r="C617" s="215"/>
    </row>
    <row r="618" spans="1:3" x14ac:dyDescent="0.35">
      <c r="A618" s="4"/>
      <c r="B618" s="116"/>
      <c r="C618" s="215"/>
    </row>
    <row r="619" spans="1:3" x14ac:dyDescent="0.35">
      <c r="A619" s="4">
        <v>226</v>
      </c>
      <c r="B619" s="116" t="str">
        <f>+Answers!D229</f>
        <v>Yes</v>
      </c>
      <c r="C619" s="215"/>
    </row>
    <row r="620" spans="1:3" x14ac:dyDescent="0.35">
      <c r="A620" s="4">
        <v>227</v>
      </c>
      <c r="B620" s="116" t="str">
        <f>+Answers!D230</f>
        <v>No</v>
      </c>
      <c r="C620" s="215"/>
    </row>
    <row r="621" spans="1:3" x14ac:dyDescent="0.35">
      <c r="A621" s="4">
        <v>228</v>
      </c>
      <c r="B621" s="116" t="str">
        <f>+Answers!D231</f>
        <v>Irrelevant (Below Ground)</v>
      </c>
      <c r="C621" s="215"/>
    </row>
    <row r="622" spans="1:3" x14ac:dyDescent="0.35">
      <c r="A622" s="4"/>
      <c r="B622" s="116"/>
      <c r="C622" s="215"/>
    </row>
    <row r="623" spans="1:3" x14ac:dyDescent="0.35">
      <c r="A623" s="4">
        <v>230</v>
      </c>
      <c r="B623" s="116" t="str">
        <f>+Answers!D233</f>
        <v>More than 10%</v>
      </c>
      <c r="C623" s="215"/>
    </row>
    <row r="624" spans="1:3" x14ac:dyDescent="0.35">
      <c r="A624" s="4">
        <v>231</v>
      </c>
      <c r="B624" s="116" t="str">
        <f>+Answers!D234</f>
        <v>Between 5% and 10%</v>
      </c>
      <c r="C624" s="215"/>
    </row>
    <row r="625" spans="1:3" x14ac:dyDescent="0.35">
      <c r="A625" s="4">
        <v>232</v>
      </c>
      <c r="B625" s="116" t="str">
        <f>+Answers!D235</f>
        <v>Between 2% and 5%</v>
      </c>
      <c r="C625" s="215"/>
    </row>
    <row r="626" spans="1:3" x14ac:dyDescent="0.35">
      <c r="A626" s="4">
        <v>233</v>
      </c>
      <c r="B626" s="116" t="str">
        <f>+Answers!D236</f>
        <v>Less than 2%</v>
      </c>
      <c r="C626" s="215"/>
    </row>
    <row r="627" spans="1:3" x14ac:dyDescent="0.35">
      <c r="A627" s="4">
        <v>234</v>
      </c>
      <c r="B627" s="116" t="str">
        <f>+Answers!D237</f>
        <v>None</v>
      </c>
      <c r="C627" s="215"/>
    </row>
    <row r="628" spans="1:3" x14ac:dyDescent="0.35">
      <c r="A628" s="4"/>
      <c r="B628" s="116"/>
      <c r="C628" s="215"/>
    </row>
    <row r="629" spans="1:3" x14ac:dyDescent="0.35">
      <c r="A629" s="4">
        <v>236</v>
      </c>
      <c r="B629" s="116" t="str">
        <f>+Answers!D239</f>
        <v>Less than 4kW</v>
      </c>
      <c r="C629" s="215"/>
    </row>
    <row r="630" spans="1:3" x14ac:dyDescent="0.35">
      <c r="A630" s="4">
        <v>237</v>
      </c>
      <c r="B630" s="116" t="str">
        <f>+Answers!D240</f>
        <v>Between 4kW and 10kW</v>
      </c>
      <c r="C630" s="215"/>
    </row>
    <row r="631" spans="1:3" x14ac:dyDescent="0.35">
      <c r="A631" s="4">
        <v>238</v>
      </c>
      <c r="B631" s="116" t="str">
        <f>+Answers!D241</f>
        <v>Between 10kW and 20kW</v>
      </c>
      <c r="C631" s="215"/>
    </row>
    <row r="632" spans="1:3" x14ac:dyDescent="0.35">
      <c r="A632" s="4">
        <v>239</v>
      </c>
      <c r="B632" s="116" t="str">
        <f>+Answers!D242</f>
        <v>More than 20kW</v>
      </c>
      <c r="C632" s="215"/>
    </row>
    <row r="633" spans="1:3" x14ac:dyDescent="0.35">
      <c r="A633" s="4">
        <v>240</v>
      </c>
      <c r="B633" s="116" t="str">
        <f>+Answers!D243</f>
        <v>More than 50kW</v>
      </c>
      <c r="C633" s="215"/>
    </row>
    <row r="634" spans="1:3" x14ac:dyDescent="0.35">
      <c r="A634" s="4"/>
      <c r="B634" s="116"/>
      <c r="C634" s="215"/>
    </row>
    <row r="635" spans="1:3" x14ac:dyDescent="0.35">
      <c r="A635" s="4">
        <v>242</v>
      </c>
      <c r="B635" s="116" t="str">
        <f>+Answers!D245</f>
        <v>Less than 50kW</v>
      </c>
      <c r="C635" s="215"/>
    </row>
    <row r="636" spans="1:3" x14ac:dyDescent="0.35">
      <c r="A636" s="4">
        <v>243</v>
      </c>
      <c r="B636" s="116" t="str">
        <f>+Answers!D246</f>
        <v>Between 50kW and 100kW</v>
      </c>
      <c r="C636" s="215"/>
    </row>
    <row r="637" spans="1:3" x14ac:dyDescent="0.35">
      <c r="A637" s="4">
        <v>244</v>
      </c>
      <c r="B637" s="116" t="str">
        <f>+Answers!D247</f>
        <v>Between 100kW and 200kW</v>
      </c>
      <c r="C637" s="215"/>
    </row>
    <row r="638" spans="1:3" x14ac:dyDescent="0.35">
      <c r="A638" s="4">
        <v>245</v>
      </c>
      <c r="B638" s="116" t="str">
        <f>+Answers!D248</f>
        <v>More than 200kW</v>
      </c>
      <c r="C638" s="215"/>
    </row>
    <row r="639" spans="1:3" x14ac:dyDescent="0.35">
      <c r="A639" s="4"/>
      <c r="B639" s="116"/>
      <c r="C639" s="215"/>
    </row>
    <row r="640" spans="1:3" x14ac:dyDescent="0.35">
      <c r="A640" s="4">
        <v>247</v>
      </c>
      <c r="B640" s="116" t="str">
        <f>+Answers!D250</f>
        <v>More than 10 spaces</v>
      </c>
      <c r="C640" s="215"/>
    </row>
    <row r="641" spans="1:3" x14ac:dyDescent="0.35">
      <c r="A641" s="4">
        <v>248</v>
      </c>
      <c r="B641" s="116" t="str">
        <f>+Answers!D251</f>
        <v>From 5 to 10 spaces</v>
      </c>
      <c r="C641" s="215"/>
    </row>
    <row r="642" spans="1:3" x14ac:dyDescent="0.35">
      <c r="A642" s="4">
        <v>249</v>
      </c>
      <c r="B642" s="116" t="str">
        <f>+Answers!D252</f>
        <v>From 1 to 5 spaces</v>
      </c>
      <c r="C642" s="215"/>
    </row>
    <row r="643" spans="1:3" x14ac:dyDescent="0.35">
      <c r="A643" s="4">
        <v>250</v>
      </c>
      <c r="B643" s="116" t="str">
        <f>+Answers!D253</f>
        <v>None</v>
      </c>
      <c r="C643" s="215"/>
    </row>
    <row r="644" spans="1:3" x14ac:dyDescent="0.35">
      <c r="A644" s="4"/>
      <c r="B644" s="116"/>
      <c r="C644" s="215"/>
    </row>
    <row r="645" spans="1:3" x14ac:dyDescent="0.35">
      <c r="A645" s="4">
        <v>252</v>
      </c>
      <c r="B645" s="116" t="str">
        <f>+Answers!D255</f>
        <v>More than 10</v>
      </c>
      <c r="C645" s="215"/>
    </row>
    <row r="646" spans="1:3" x14ac:dyDescent="0.35">
      <c r="A646" s="4">
        <v>253</v>
      </c>
      <c r="B646" s="116" t="str">
        <f>+Answers!D256</f>
        <v>From 1 to 10</v>
      </c>
      <c r="C646" s="215"/>
    </row>
    <row r="647" spans="1:3" x14ac:dyDescent="0.35">
      <c r="A647" s="4">
        <v>254</v>
      </c>
      <c r="B647" s="116" t="str">
        <f>+Answers!D257</f>
        <v>None</v>
      </c>
      <c r="C647" s="215"/>
    </row>
    <row r="648" spans="1:3" x14ac:dyDescent="0.35">
      <c r="A648" s="4"/>
      <c r="B648" s="116"/>
      <c r="C648" s="215"/>
    </row>
    <row r="649" spans="1:3" x14ac:dyDescent="0.35">
      <c r="A649" s="4">
        <v>256</v>
      </c>
      <c r="B649" s="116" t="str">
        <f>+Answers!D259</f>
        <v>To/from all levels</v>
      </c>
      <c r="C649" s="215"/>
    </row>
    <row r="650" spans="1:3" x14ac:dyDescent="0.35">
      <c r="A650" s="4">
        <v>257</v>
      </c>
      <c r="B650" s="116" t="str">
        <f>+Answers!D260</f>
        <v>To/from some levels</v>
      </c>
      <c r="C650" s="215"/>
    </row>
    <row r="651" spans="1:3" x14ac:dyDescent="0.35">
      <c r="A651" s="4">
        <v>258</v>
      </c>
      <c r="B651" s="116" t="str">
        <f>+Answers!D261</f>
        <v>No Escalators or Travellator</v>
      </c>
      <c r="C651" s="215"/>
    </row>
    <row r="652" spans="1:3" x14ac:dyDescent="0.35">
      <c r="A652" s="4"/>
      <c r="B652" s="116"/>
      <c r="C652" s="215"/>
    </row>
    <row r="653" spans="1:3" x14ac:dyDescent="0.35">
      <c r="A653" s="4">
        <v>260</v>
      </c>
      <c r="B653" s="116" t="str">
        <f>+Answers!D263</f>
        <v>Yes</v>
      </c>
      <c r="C653" s="215"/>
    </row>
    <row r="654" spans="1:3" x14ac:dyDescent="0.35">
      <c r="A654" s="4">
        <v>261</v>
      </c>
      <c r="B654" s="116" t="str">
        <f>+Answers!D264</f>
        <v>No</v>
      </c>
      <c r="C654" s="215"/>
    </row>
    <row r="655" spans="1:3" x14ac:dyDescent="0.35">
      <c r="A655" s="4">
        <v>262</v>
      </c>
      <c r="B655" s="116" t="str">
        <f>+Answers!D265</f>
        <v>Departure Times Displayed</v>
      </c>
      <c r="C655" s="215"/>
    </row>
    <row r="656" spans="1:3" x14ac:dyDescent="0.35">
      <c r="A656" s="4"/>
      <c r="B656" s="116"/>
      <c r="C656" s="215"/>
    </row>
    <row r="657" spans="1:3" x14ac:dyDescent="0.35">
      <c r="A657" s="4"/>
      <c r="B657" s="116"/>
      <c r="C657" s="215"/>
    </row>
    <row r="658" spans="1:3" x14ac:dyDescent="0.35">
      <c r="A658" s="4"/>
      <c r="B658" s="116"/>
      <c r="C658" s="215"/>
    </row>
    <row r="659" spans="1:3" x14ac:dyDescent="0.35">
      <c r="A659" s="4"/>
      <c r="B659" s="116"/>
      <c r="C659" s="215"/>
    </row>
    <row r="660" spans="1:3" x14ac:dyDescent="0.35">
      <c r="A660" s="4"/>
      <c r="B660" s="116"/>
      <c r="C660" s="215"/>
    </row>
    <row r="661" spans="1:3" x14ac:dyDescent="0.35">
      <c r="A661" s="4"/>
      <c r="B661" s="116"/>
      <c r="C661" s="215"/>
    </row>
    <row r="662" spans="1:3" x14ac:dyDescent="0.35">
      <c r="A662" s="4"/>
      <c r="B662" s="116"/>
      <c r="C662" s="215"/>
    </row>
    <row r="663" spans="1:3" x14ac:dyDescent="0.35">
      <c r="A663" s="4"/>
      <c r="B663" s="116"/>
      <c r="C663" s="215"/>
    </row>
    <row r="664" spans="1:3" x14ac:dyDescent="0.35">
      <c r="A664" s="4"/>
      <c r="B664" s="116"/>
      <c r="C664" s="215"/>
    </row>
    <row r="665" spans="1:3" x14ac:dyDescent="0.35">
      <c r="A665" s="4"/>
      <c r="B665" s="116"/>
      <c r="C665" s="215"/>
    </row>
    <row r="666" spans="1:3" x14ac:dyDescent="0.35">
      <c r="A666" s="4"/>
      <c r="B666" s="116"/>
      <c r="C666" s="215"/>
    </row>
    <row r="667" spans="1:3" x14ac:dyDescent="0.35">
      <c r="A667" s="4"/>
      <c r="B667" s="116"/>
      <c r="C667" s="215"/>
    </row>
    <row r="668" spans="1:3" x14ac:dyDescent="0.35">
      <c r="A668" s="4"/>
      <c r="B668" s="116"/>
      <c r="C668" s="215"/>
    </row>
    <row r="669" spans="1:3" x14ac:dyDescent="0.35">
      <c r="A669" s="4"/>
      <c r="B669" s="116"/>
      <c r="C669" s="215"/>
    </row>
    <row r="670" spans="1:3" x14ac:dyDescent="0.35">
      <c r="A670" s="4"/>
      <c r="B670" s="116"/>
      <c r="C670" s="215"/>
    </row>
    <row r="671" spans="1:3" x14ac:dyDescent="0.35">
      <c r="A671" s="4"/>
      <c r="B671" s="116"/>
      <c r="C671" s="215"/>
    </row>
    <row r="672" spans="1:3" x14ac:dyDescent="0.35">
      <c r="A672" s="4"/>
      <c r="B672" s="116"/>
      <c r="C672" s="215"/>
    </row>
    <row r="673" spans="1:3" x14ac:dyDescent="0.35">
      <c r="A673" s="4"/>
      <c r="B673" s="116"/>
      <c r="C673" s="215"/>
    </row>
    <row r="674" spans="1:3" x14ac:dyDescent="0.35">
      <c r="A674" s="4"/>
      <c r="B674" s="116"/>
      <c r="C674" s="215"/>
    </row>
    <row r="675" spans="1:3" x14ac:dyDescent="0.35">
      <c r="A675" s="4"/>
      <c r="B675" s="116"/>
      <c r="C675" s="215"/>
    </row>
    <row r="676" spans="1:3" x14ac:dyDescent="0.35">
      <c r="A676" s="4"/>
      <c r="B676" s="116"/>
      <c r="C676" s="215"/>
    </row>
    <row r="677" spans="1:3" x14ac:dyDescent="0.35">
      <c r="A677" s="4"/>
      <c r="B677" s="116"/>
      <c r="C677" s="215"/>
    </row>
    <row r="678" spans="1:3" x14ac:dyDescent="0.35">
      <c r="A678" s="4"/>
      <c r="B678" s="116"/>
      <c r="C678" s="215"/>
    </row>
    <row r="679" spans="1:3" x14ac:dyDescent="0.35">
      <c r="A679" s="4"/>
      <c r="B679" s="116"/>
      <c r="C679" s="215"/>
    </row>
    <row r="680" spans="1:3" x14ac:dyDescent="0.35">
      <c r="A680" s="4"/>
      <c r="B680" s="116"/>
      <c r="C680" s="215"/>
    </row>
    <row r="681" spans="1:3" x14ac:dyDescent="0.35">
      <c r="A681" s="4"/>
      <c r="B681" s="116"/>
      <c r="C681" s="215"/>
    </row>
    <row r="682" spans="1:3" x14ac:dyDescent="0.35">
      <c r="A682" s="4"/>
      <c r="B682" s="116"/>
      <c r="C682" s="215"/>
    </row>
    <row r="683" spans="1:3" x14ac:dyDescent="0.35">
      <c r="A683" s="4"/>
      <c r="B683" s="116"/>
      <c r="C683" s="215"/>
    </row>
    <row r="684" spans="1:3" x14ac:dyDescent="0.35">
      <c r="A684" s="4"/>
      <c r="B684" s="116"/>
      <c r="C684" s="215"/>
    </row>
    <row r="685" spans="1:3" x14ac:dyDescent="0.35">
      <c r="A685" s="4"/>
      <c r="B685" s="116"/>
      <c r="C685" s="215"/>
    </row>
    <row r="686" spans="1:3" x14ac:dyDescent="0.35">
      <c r="A686" s="4"/>
      <c r="B686" s="116"/>
      <c r="C686" s="215"/>
    </row>
    <row r="687" spans="1:3" x14ac:dyDescent="0.35">
      <c r="A687" s="4"/>
      <c r="B687" s="116"/>
      <c r="C687" s="215"/>
    </row>
    <row r="688" spans="1:3" x14ac:dyDescent="0.35">
      <c r="A688" s="4"/>
      <c r="B688" s="116"/>
      <c r="C688" s="215"/>
    </row>
    <row r="689" spans="1:3" x14ac:dyDescent="0.35">
      <c r="A689" s="4"/>
      <c r="B689" s="116"/>
      <c r="C689" s="215"/>
    </row>
    <row r="690" spans="1:3" x14ac:dyDescent="0.35">
      <c r="A690" s="4"/>
      <c r="B690" s="116"/>
      <c r="C690" s="215"/>
    </row>
    <row r="691" spans="1:3" x14ac:dyDescent="0.35">
      <c r="A691" s="4"/>
      <c r="B691" s="116"/>
      <c r="C691" s="215"/>
    </row>
    <row r="692" spans="1:3" x14ac:dyDescent="0.35">
      <c r="A692" s="4"/>
      <c r="B692" s="116"/>
      <c r="C692" s="215"/>
    </row>
    <row r="693" spans="1:3" x14ac:dyDescent="0.35">
      <c r="A693" s="4"/>
      <c r="B693" s="116"/>
      <c r="C693" s="215"/>
    </row>
    <row r="694" spans="1:3" x14ac:dyDescent="0.35">
      <c r="A694" s="4"/>
      <c r="B694" s="116"/>
      <c r="C694" s="215"/>
    </row>
    <row r="695" spans="1:3" x14ac:dyDescent="0.35">
      <c r="A695" s="4"/>
      <c r="B695" s="116"/>
      <c r="C695" s="215"/>
    </row>
    <row r="696" spans="1:3" x14ac:dyDescent="0.35">
      <c r="A696" s="4"/>
      <c r="B696" s="116"/>
      <c r="C696" s="215"/>
    </row>
    <row r="697" spans="1:3" x14ac:dyDescent="0.35">
      <c r="A697" s="4"/>
      <c r="B697" s="116"/>
      <c r="C697" s="215"/>
    </row>
    <row r="698" spans="1:3" x14ac:dyDescent="0.35">
      <c r="A698" s="4"/>
      <c r="B698" s="116"/>
      <c r="C698" s="215"/>
    </row>
    <row r="699" spans="1:3" x14ac:dyDescent="0.35">
      <c r="A699" s="4"/>
      <c r="B699" s="116"/>
      <c r="C699" s="215"/>
    </row>
    <row r="700" spans="1:3" x14ac:dyDescent="0.35">
      <c r="A700" s="4"/>
      <c r="B700" s="116"/>
      <c r="C700" s="215"/>
    </row>
    <row r="701" spans="1:3" x14ac:dyDescent="0.35">
      <c r="A701" s="4"/>
      <c r="B701" s="116"/>
      <c r="C701" s="215"/>
    </row>
    <row r="702" spans="1:3" x14ac:dyDescent="0.35">
      <c r="A702" s="4"/>
      <c r="B702" s="116"/>
      <c r="C702" s="215"/>
    </row>
    <row r="703" spans="1:3" x14ac:dyDescent="0.35">
      <c r="A703" s="4"/>
      <c r="B703" s="116"/>
      <c r="C703" s="215"/>
    </row>
    <row r="704" spans="1:3" x14ac:dyDescent="0.35">
      <c r="A704" s="4"/>
      <c r="B704" s="116"/>
      <c r="C704" s="215"/>
    </row>
    <row r="705" spans="1:3" x14ac:dyDescent="0.35">
      <c r="A705" s="4"/>
      <c r="B705" s="116"/>
      <c r="C705" s="215"/>
    </row>
    <row r="706" spans="1:3" x14ac:dyDescent="0.35">
      <c r="A706" s="4"/>
      <c r="B706" s="116"/>
      <c r="C706" s="215"/>
    </row>
    <row r="707" spans="1:3" x14ac:dyDescent="0.35">
      <c r="A707" s="4"/>
      <c r="B707" s="116"/>
      <c r="C707" s="215"/>
    </row>
    <row r="708" spans="1:3" x14ac:dyDescent="0.35">
      <c r="A708" s="4"/>
      <c r="B708" s="116"/>
      <c r="C708" s="215"/>
    </row>
    <row r="709" spans="1:3" x14ac:dyDescent="0.35">
      <c r="A709" s="4"/>
      <c r="B709" s="116"/>
      <c r="C709" s="215"/>
    </row>
    <row r="710" spans="1:3" x14ac:dyDescent="0.35">
      <c r="A710" s="4"/>
      <c r="B710" s="116"/>
      <c r="C710" s="215"/>
    </row>
    <row r="711" spans="1:3" x14ac:dyDescent="0.35">
      <c r="A711" s="4"/>
      <c r="B711" s="116"/>
      <c r="C711" s="215"/>
    </row>
    <row r="712" spans="1:3" x14ac:dyDescent="0.35">
      <c r="A712" s="4"/>
      <c r="B712" s="116"/>
      <c r="C712" s="215"/>
    </row>
    <row r="713" spans="1:3" x14ac:dyDescent="0.35">
      <c r="A713" s="4"/>
      <c r="B713" s="116"/>
      <c r="C713" s="215"/>
    </row>
    <row r="714" spans="1:3" x14ac:dyDescent="0.35">
      <c r="A714" s="4"/>
      <c r="B714" s="116"/>
      <c r="C714" s="215"/>
    </row>
    <row r="715" spans="1:3" x14ac:dyDescent="0.35">
      <c r="A715" s="4"/>
      <c r="B715" s="116"/>
      <c r="C715" s="215"/>
    </row>
    <row r="716" spans="1:3" x14ac:dyDescent="0.35">
      <c r="A716" s="4"/>
      <c r="B716" s="116"/>
      <c r="C716" s="215"/>
    </row>
    <row r="717" spans="1:3" x14ac:dyDescent="0.35">
      <c r="A717" s="4"/>
      <c r="B717" s="116"/>
      <c r="C717" s="215"/>
    </row>
    <row r="718" spans="1:3" x14ac:dyDescent="0.35">
      <c r="A718" s="4"/>
      <c r="B718" s="116"/>
      <c r="C718" s="215"/>
    </row>
    <row r="719" spans="1:3" x14ac:dyDescent="0.35">
      <c r="A719" s="4"/>
      <c r="B719" s="116"/>
      <c r="C719" s="215"/>
    </row>
    <row r="720" spans="1:3" x14ac:dyDescent="0.35">
      <c r="A720" s="4"/>
      <c r="B720" s="116"/>
      <c r="C720" s="215"/>
    </row>
    <row r="721" spans="1:3" x14ac:dyDescent="0.35">
      <c r="A721" s="4"/>
      <c r="B721" s="116"/>
      <c r="C721" s="215"/>
    </row>
    <row r="722" spans="1:3" x14ac:dyDescent="0.35">
      <c r="A722" s="4"/>
      <c r="B722" s="116"/>
      <c r="C722" s="215"/>
    </row>
    <row r="723" spans="1:3" x14ac:dyDescent="0.35">
      <c r="A723" s="4"/>
      <c r="B723" s="116"/>
      <c r="C723" s="215"/>
    </row>
    <row r="724" spans="1:3" x14ac:dyDescent="0.35">
      <c r="A724" s="4"/>
      <c r="B724" s="116"/>
      <c r="C724" s="215"/>
    </row>
    <row r="725" spans="1:3" x14ac:dyDescent="0.35">
      <c r="A725" s="4"/>
      <c r="B725" s="116"/>
      <c r="C725" s="215"/>
    </row>
    <row r="726" spans="1:3" x14ac:dyDescent="0.35">
      <c r="A726" s="4"/>
      <c r="B726" s="116"/>
      <c r="C726" s="215"/>
    </row>
    <row r="727" spans="1:3" x14ac:dyDescent="0.35">
      <c r="A727" s="4"/>
      <c r="B727" s="116"/>
      <c r="C727" s="215"/>
    </row>
    <row r="728" spans="1:3" x14ac:dyDescent="0.35">
      <c r="A728" s="4"/>
      <c r="B728" s="116"/>
      <c r="C728" s="215"/>
    </row>
    <row r="729" spans="1:3" x14ac:dyDescent="0.35">
      <c r="A729" s="4"/>
      <c r="B729" s="116"/>
      <c r="C729" s="215"/>
    </row>
    <row r="730" spans="1:3" x14ac:dyDescent="0.35">
      <c r="A730" s="4"/>
      <c r="B730" s="116"/>
      <c r="C730" s="215"/>
    </row>
    <row r="731" spans="1:3" x14ac:dyDescent="0.35">
      <c r="A731" s="4"/>
      <c r="B731" s="116"/>
      <c r="C731" s="215"/>
    </row>
    <row r="732" spans="1:3" x14ac:dyDescent="0.35">
      <c r="A732" s="4"/>
      <c r="B732" s="116"/>
      <c r="C732" s="215"/>
    </row>
    <row r="733" spans="1:3" x14ac:dyDescent="0.35">
      <c r="A733" s="4"/>
      <c r="B733" s="116"/>
      <c r="C733" s="215"/>
    </row>
    <row r="734" spans="1:3" x14ac:dyDescent="0.35">
      <c r="A734" s="4"/>
      <c r="B734" s="116"/>
      <c r="C734" s="215"/>
    </row>
    <row r="735" spans="1:3" x14ac:dyDescent="0.35">
      <c r="A735" s="4"/>
      <c r="B735" s="116"/>
      <c r="C735" s="215"/>
    </row>
    <row r="736" spans="1:3" x14ac:dyDescent="0.35">
      <c r="A736" s="4"/>
      <c r="B736" s="116"/>
      <c r="C736" s="215"/>
    </row>
    <row r="737" spans="1:3" x14ac:dyDescent="0.35">
      <c r="A737" s="4"/>
      <c r="B737" s="116"/>
      <c r="C737" s="215"/>
    </row>
    <row r="738" spans="1:3" x14ac:dyDescent="0.35">
      <c r="A738" s="4"/>
      <c r="B738" s="116"/>
      <c r="C738" s="215"/>
    </row>
    <row r="739" spans="1:3" x14ac:dyDescent="0.35">
      <c r="A739" s="4"/>
      <c r="B739" s="116"/>
      <c r="C739" s="215"/>
    </row>
    <row r="740" spans="1:3" x14ac:dyDescent="0.35">
      <c r="A740" s="4"/>
      <c r="B740" s="116"/>
      <c r="C740" s="215"/>
    </row>
    <row r="741" spans="1:3" x14ac:dyDescent="0.35">
      <c r="A741" s="4"/>
      <c r="B741" s="116"/>
      <c r="C741" s="215"/>
    </row>
    <row r="742" spans="1:3" x14ac:dyDescent="0.35">
      <c r="A742" s="4"/>
      <c r="B742" s="116"/>
      <c r="C742" s="215"/>
    </row>
  </sheetData>
  <sheetProtection formatRows="0" selectLockedCells="1"/>
  <pageMargins left="0.75" right="0.75" top="1" bottom="1" header="0.5" footer="0.5"/>
  <pageSetup paperSize="9" orientation="portrait"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B291"/>
  <sheetViews>
    <sheetView workbookViewId="0"/>
  </sheetViews>
  <sheetFormatPr baseColWidth="10" defaultColWidth="10.81640625" defaultRowHeight="14.5" x14ac:dyDescent="0.35"/>
  <cols>
    <col min="1" max="2" width="63" style="4" customWidth="1"/>
    <col min="3" max="16384" width="10.81640625" style="4"/>
  </cols>
  <sheetData>
    <row r="1" spans="1:2" ht="26" x14ac:dyDescent="0.35">
      <c r="A1" s="111" t="s">
        <v>1716</v>
      </c>
    </row>
    <row r="2" spans="1:2" x14ac:dyDescent="0.35">
      <c r="A2" s="4">
        <v>1</v>
      </c>
      <c r="B2" s="4">
        <v>2</v>
      </c>
    </row>
    <row r="3" spans="1:2" ht="21" x14ac:dyDescent="0.35">
      <c r="A3" s="125" t="str">
        <f>VLOOKUP(A2,'Languages Available'!$A$3:$B$23,2)</f>
        <v>English</v>
      </c>
      <c r="B3" s="125" t="str">
        <f>A1</f>
        <v>New Language</v>
      </c>
    </row>
    <row r="4" spans="1:2" x14ac:dyDescent="0.35">
      <c r="A4" s="115" t="s">
        <v>114</v>
      </c>
      <c r="B4" s="115"/>
    </row>
    <row r="5" spans="1:2" x14ac:dyDescent="0.35">
      <c r="A5" s="116" t="s">
        <v>2</v>
      </c>
      <c r="B5" s="116"/>
    </row>
    <row r="6" spans="1:2" ht="29" x14ac:dyDescent="0.35">
      <c r="A6" s="116" t="s">
        <v>84</v>
      </c>
      <c r="B6" s="116"/>
    </row>
    <row r="7" spans="1:2" ht="29" x14ac:dyDescent="0.35">
      <c r="A7" s="116" t="s">
        <v>1758</v>
      </c>
      <c r="B7" s="116"/>
    </row>
    <row r="8" spans="1:2" ht="29" x14ac:dyDescent="0.35">
      <c r="A8" s="116" t="s">
        <v>118</v>
      </c>
      <c r="B8" s="116"/>
    </row>
    <row r="9" spans="1:2" ht="43.5" x14ac:dyDescent="0.35">
      <c r="A9" s="116" t="s">
        <v>1771</v>
      </c>
      <c r="B9" s="116"/>
    </row>
    <row r="10" spans="1:2" x14ac:dyDescent="0.35">
      <c r="A10" s="116" t="s">
        <v>1763</v>
      </c>
      <c r="B10" s="116"/>
    </row>
    <row r="11" spans="1:2" ht="43.5" x14ac:dyDescent="0.35">
      <c r="A11" s="116" t="s">
        <v>86</v>
      </c>
      <c r="B11" s="116"/>
    </row>
    <row r="12" spans="1:2" ht="58" x14ac:dyDescent="0.35">
      <c r="A12" s="116" t="s">
        <v>87</v>
      </c>
      <c r="B12" s="116"/>
    </row>
    <row r="13" spans="1:2" ht="43.5" x14ac:dyDescent="0.35">
      <c r="A13" s="116" t="s">
        <v>117</v>
      </c>
      <c r="B13" s="116"/>
    </row>
    <row r="14" spans="1:2" ht="43.5" x14ac:dyDescent="0.35">
      <c r="A14" s="116" t="s">
        <v>85</v>
      </c>
      <c r="B14" s="116"/>
    </row>
    <row r="15" spans="1:2" x14ac:dyDescent="0.35">
      <c r="A15" s="116" t="s">
        <v>88</v>
      </c>
      <c r="B15" s="116"/>
    </row>
    <row r="16" spans="1:2" ht="29" x14ac:dyDescent="0.35">
      <c r="A16" s="116" t="s">
        <v>119</v>
      </c>
      <c r="B16" s="116"/>
    </row>
    <row r="17" spans="1:2" x14ac:dyDescent="0.35">
      <c r="A17" s="116" t="s">
        <v>1768</v>
      </c>
      <c r="B17" s="116"/>
    </row>
    <row r="18" spans="1:2" x14ac:dyDescent="0.35">
      <c r="A18" s="116" t="s">
        <v>1769</v>
      </c>
      <c r="B18" s="116"/>
    </row>
    <row r="19" spans="1:2" x14ac:dyDescent="0.35">
      <c r="A19" s="116" t="s">
        <v>678</v>
      </c>
      <c r="B19" s="116"/>
    </row>
    <row r="20" spans="1:2" x14ac:dyDescent="0.35">
      <c r="A20" s="116" t="s">
        <v>474</v>
      </c>
      <c r="B20" s="116"/>
    </row>
    <row r="21" spans="1:2" ht="58" x14ac:dyDescent="0.35">
      <c r="A21" s="116" t="s">
        <v>271</v>
      </c>
      <c r="B21" s="116"/>
    </row>
    <row r="22" spans="1:2" ht="58" x14ac:dyDescent="0.35">
      <c r="A22" s="116" t="s">
        <v>272</v>
      </c>
      <c r="B22" s="116"/>
    </row>
    <row r="23" spans="1:2" ht="58" x14ac:dyDescent="0.35">
      <c r="A23" s="116" t="s">
        <v>273</v>
      </c>
      <c r="B23" s="116"/>
    </row>
    <row r="24" spans="1:2" ht="72.5" x14ac:dyDescent="0.35">
      <c r="A24" s="116" t="s">
        <v>1773</v>
      </c>
      <c r="B24" s="116"/>
    </row>
    <row r="25" spans="1:2" ht="72.5" x14ac:dyDescent="0.35">
      <c r="A25" s="116" t="s">
        <v>1774</v>
      </c>
      <c r="B25" s="116"/>
    </row>
    <row r="26" spans="1:2" ht="72.5" x14ac:dyDescent="0.35">
      <c r="A26" s="116" t="s">
        <v>274</v>
      </c>
      <c r="B26" s="116"/>
    </row>
    <row r="27" spans="1:2" ht="58" x14ac:dyDescent="0.35">
      <c r="A27" s="116" t="s">
        <v>275</v>
      </c>
      <c r="B27" s="116"/>
    </row>
    <row r="28" spans="1:2" ht="72.5" x14ac:dyDescent="0.35">
      <c r="A28" s="116" t="s">
        <v>540</v>
      </c>
      <c r="B28" s="116"/>
    </row>
    <row r="29" spans="1:2" ht="58" x14ac:dyDescent="0.35">
      <c r="A29" s="116" t="s">
        <v>679</v>
      </c>
      <c r="B29" s="116"/>
    </row>
    <row r="30" spans="1:2" x14ac:dyDescent="0.35">
      <c r="A30" s="116" t="s">
        <v>122</v>
      </c>
      <c r="B30" s="116"/>
    </row>
    <row r="31" spans="1:2" x14ac:dyDescent="0.35">
      <c r="A31" s="116" t="s">
        <v>113</v>
      </c>
      <c r="B31" s="116"/>
    </row>
    <row r="32" spans="1:2" x14ac:dyDescent="0.35">
      <c r="A32" s="116" t="s">
        <v>109</v>
      </c>
      <c r="B32" s="116"/>
    </row>
    <row r="33" spans="1:2" x14ac:dyDescent="0.35">
      <c r="A33" s="116" t="s">
        <v>110</v>
      </c>
      <c r="B33" s="116"/>
    </row>
    <row r="34" spans="1:2" x14ac:dyDescent="0.35">
      <c r="A34" s="116" t="s">
        <v>111</v>
      </c>
      <c r="B34" s="116"/>
    </row>
    <row r="35" spans="1:2" x14ac:dyDescent="0.35">
      <c r="A35" s="116" t="s">
        <v>112</v>
      </c>
      <c r="B35" s="116"/>
    </row>
    <row r="36" spans="1:2" x14ac:dyDescent="0.35">
      <c r="A36" s="116" t="s">
        <v>128</v>
      </c>
      <c r="B36" s="116"/>
    </row>
    <row r="37" spans="1:2" x14ac:dyDescent="0.35">
      <c r="A37" s="116" t="s">
        <v>1292</v>
      </c>
      <c r="B37" s="116"/>
    </row>
    <row r="38" spans="1:2" x14ac:dyDescent="0.35">
      <c r="A38" s="116" t="s">
        <v>1291</v>
      </c>
      <c r="B38" s="116"/>
    </row>
    <row r="39" spans="1:2" x14ac:dyDescent="0.35">
      <c r="A39" s="116" t="s">
        <v>1290</v>
      </c>
      <c r="B39" s="116"/>
    </row>
    <row r="40" spans="1:2" x14ac:dyDescent="0.35">
      <c r="A40" s="116" t="s">
        <v>129</v>
      </c>
      <c r="B40" s="116"/>
    </row>
    <row r="41" spans="1:2" ht="43.5" x14ac:dyDescent="0.35">
      <c r="A41" s="116" t="s">
        <v>157</v>
      </c>
      <c r="B41" s="116"/>
    </row>
    <row r="42" spans="1:2" ht="58" x14ac:dyDescent="0.35">
      <c r="A42" s="116" t="s">
        <v>680</v>
      </c>
      <c r="B42" s="116"/>
    </row>
    <row r="43" spans="1:2" x14ac:dyDescent="0.35">
      <c r="A43" s="116" t="s">
        <v>1289</v>
      </c>
      <c r="B43" s="116"/>
    </row>
    <row r="44" spans="1:2" x14ac:dyDescent="0.35">
      <c r="A44" s="116" t="s">
        <v>133</v>
      </c>
      <c r="B44" s="116"/>
    </row>
    <row r="45" spans="1:2" x14ac:dyDescent="0.35">
      <c r="A45" s="116" t="s">
        <v>132</v>
      </c>
      <c r="B45" s="116"/>
    </row>
    <row r="46" spans="1:2" x14ac:dyDescent="0.35">
      <c r="A46" s="116" t="s">
        <v>134</v>
      </c>
      <c r="B46" s="116"/>
    </row>
    <row r="47" spans="1:2" x14ac:dyDescent="0.35">
      <c r="A47" s="116" t="s">
        <v>1288</v>
      </c>
      <c r="B47" s="116"/>
    </row>
    <row r="48" spans="1:2" x14ac:dyDescent="0.35">
      <c r="A48" s="116" t="s">
        <v>135</v>
      </c>
      <c r="B48" s="116"/>
    </row>
    <row r="49" spans="1:2" x14ac:dyDescent="0.35">
      <c r="A49" s="116" t="s">
        <v>136</v>
      </c>
      <c r="B49" s="116"/>
    </row>
    <row r="50" spans="1:2" x14ac:dyDescent="0.35">
      <c r="A50" s="116" t="s">
        <v>137</v>
      </c>
      <c r="B50" s="116"/>
    </row>
    <row r="51" spans="1:2" x14ac:dyDescent="0.35">
      <c r="A51" s="116" t="s">
        <v>138</v>
      </c>
      <c r="B51" s="116"/>
    </row>
    <row r="52" spans="1:2" ht="58" x14ac:dyDescent="0.35">
      <c r="A52" s="116" t="s">
        <v>682</v>
      </c>
      <c r="B52" s="116"/>
    </row>
    <row r="53" spans="1:2" ht="58" x14ac:dyDescent="0.35">
      <c r="A53" s="116" t="s">
        <v>684</v>
      </c>
      <c r="B53" s="116"/>
    </row>
    <row r="54" spans="1:2" ht="29" x14ac:dyDescent="0.35">
      <c r="A54" s="116" t="s">
        <v>483</v>
      </c>
      <c r="B54" s="116"/>
    </row>
    <row r="55" spans="1:2" ht="29" x14ac:dyDescent="0.35">
      <c r="A55" s="116" t="s">
        <v>222</v>
      </c>
      <c r="B55" s="116"/>
    </row>
    <row r="56" spans="1:2" x14ac:dyDescent="0.35">
      <c r="A56" s="116" t="s">
        <v>139</v>
      </c>
      <c r="B56" s="116"/>
    </row>
    <row r="57" spans="1:2" x14ac:dyDescent="0.35">
      <c r="A57" s="116" t="s">
        <v>140</v>
      </c>
      <c r="B57" s="116"/>
    </row>
    <row r="58" spans="1:2" x14ac:dyDescent="0.35">
      <c r="A58" s="116" t="s">
        <v>141</v>
      </c>
      <c r="B58" s="116"/>
    </row>
    <row r="59" spans="1:2" x14ac:dyDescent="0.35">
      <c r="A59" s="116" t="s">
        <v>142</v>
      </c>
      <c r="B59" s="116"/>
    </row>
    <row r="60" spans="1:2" x14ac:dyDescent="0.35">
      <c r="A60" s="116" t="s">
        <v>143</v>
      </c>
      <c r="B60" s="116"/>
    </row>
    <row r="61" spans="1:2" x14ac:dyDescent="0.35">
      <c r="A61" s="116" t="s">
        <v>144</v>
      </c>
      <c r="B61" s="116"/>
    </row>
    <row r="62" spans="1:2" x14ac:dyDescent="0.35">
      <c r="A62" s="116" t="s">
        <v>145</v>
      </c>
      <c r="B62" s="116"/>
    </row>
    <row r="63" spans="1:2" ht="29" x14ac:dyDescent="0.35">
      <c r="A63" s="116" t="s">
        <v>484</v>
      </c>
      <c r="B63" s="116"/>
    </row>
    <row r="64" spans="1:2" ht="29" x14ac:dyDescent="0.35">
      <c r="A64" s="116" t="s">
        <v>146</v>
      </c>
      <c r="B64" s="116"/>
    </row>
    <row r="65" spans="1:2" x14ac:dyDescent="0.35">
      <c r="A65" s="116" t="s">
        <v>5</v>
      </c>
      <c r="B65" s="116"/>
    </row>
    <row r="66" spans="1:2" x14ac:dyDescent="0.35">
      <c r="A66" s="116" t="s">
        <v>147</v>
      </c>
      <c r="B66" s="116"/>
    </row>
    <row r="67" spans="1:2" ht="72.5" x14ac:dyDescent="0.35">
      <c r="A67" s="116" t="s">
        <v>686</v>
      </c>
      <c r="B67" s="116"/>
    </row>
    <row r="68" spans="1:2" ht="29" x14ac:dyDescent="0.35">
      <c r="A68" s="116" t="s">
        <v>232</v>
      </c>
      <c r="B68" s="116"/>
    </row>
    <row r="69" spans="1:2" x14ac:dyDescent="0.35">
      <c r="A69" s="116" t="s">
        <v>1294</v>
      </c>
      <c r="B69" s="116"/>
    </row>
    <row r="70" spans="1:2" x14ac:dyDescent="0.35">
      <c r="A70" s="116" t="s">
        <v>1295</v>
      </c>
      <c r="B70" s="116"/>
    </row>
    <row r="71" spans="1:2" x14ac:dyDescent="0.35">
      <c r="A71" s="116" t="s">
        <v>152</v>
      </c>
      <c r="B71" s="116"/>
    </row>
    <row r="72" spans="1:2" x14ac:dyDescent="0.35">
      <c r="A72" s="116" t="s">
        <v>1296</v>
      </c>
      <c r="B72" s="116"/>
    </row>
    <row r="73" spans="1:2" x14ac:dyDescent="0.35">
      <c r="A73" s="116" t="s">
        <v>154</v>
      </c>
      <c r="B73" s="116"/>
    </row>
    <row r="74" spans="1:2" x14ac:dyDescent="0.35">
      <c r="A74" s="116" t="s">
        <v>1297</v>
      </c>
      <c r="B74" s="116"/>
    </row>
    <row r="75" spans="1:2" x14ac:dyDescent="0.35">
      <c r="A75" s="116" t="s">
        <v>153</v>
      </c>
      <c r="B75" s="116"/>
    </row>
    <row r="76" spans="1:2" x14ac:dyDescent="0.35">
      <c r="A76" s="116" t="s">
        <v>1296</v>
      </c>
      <c r="B76" s="116"/>
    </row>
    <row r="77" spans="1:2" x14ac:dyDescent="0.35">
      <c r="A77" s="116" t="s">
        <v>154</v>
      </c>
      <c r="B77" s="116"/>
    </row>
    <row r="78" spans="1:2" x14ac:dyDescent="0.35">
      <c r="A78" s="116" t="s">
        <v>1297</v>
      </c>
      <c r="B78" s="116"/>
    </row>
    <row r="79" spans="1:2" x14ac:dyDescent="0.35">
      <c r="A79" s="116" t="s">
        <v>1298</v>
      </c>
      <c r="B79" s="116"/>
    </row>
    <row r="80" spans="1:2" x14ac:dyDescent="0.35">
      <c r="A80" s="116" t="s">
        <v>155</v>
      </c>
      <c r="B80" s="116"/>
    </row>
    <row r="81" spans="1:2" x14ac:dyDescent="0.35">
      <c r="A81" s="116" t="s">
        <v>156</v>
      </c>
      <c r="B81" s="116"/>
    </row>
    <row r="82" spans="1:2" x14ac:dyDescent="0.35">
      <c r="A82" s="116" t="s">
        <v>158</v>
      </c>
      <c r="B82" s="116"/>
    </row>
    <row r="83" spans="1:2" x14ac:dyDescent="0.35">
      <c r="A83" s="116" t="s">
        <v>1296</v>
      </c>
      <c r="B83" s="116"/>
    </row>
    <row r="84" spans="1:2" x14ac:dyDescent="0.35">
      <c r="A84" s="116" t="s">
        <v>154</v>
      </c>
      <c r="B84" s="116"/>
    </row>
    <row r="85" spans="1:2" x14ac:dyDescent="0.35">
      <c r="A85" s="116" t="s">
        <v>1297</v>
      </c>
      <c r="B85" s="116"/>
    </row>
    <row r="86" spans="1:2" ht="29" x14ac:dyDescent="0.35">
      <c r="A86" s="116" t="s">
        <v>161</v>
      </c>
      <c r="B86" s="116"/>
    </row>
    <row r="87" spans="1:2" x14ac:dyDescent="0.35">
      <c r="A87" s="116" t="s">
        <v>159</v>
      </c>
      <c r="B87" s="116"/>
    </row>
    <row r="88" spans="1:2" x14ac:dyDescent="0.35">
      <c r="A88" s="116" t="s">
        <v>278</v>
      </c>
      <c r="B88" s="116"/>
    </row>
    <row r="89" spans="1:2" x14ac:dyDescent="0.35">
      <c r="A89" s="116" t="s">
        <v>160</v>
      </c>
      <c r="B89" s="116"/>
    </row>
    <row r="90" spans="1:2" x14ac:dyDescent="0.35">
      <c r="A90" s="116" t="s">
        <v>1299</v>
      </c>
      <c r="B90" s="116"/>
    </row>
    <row r="91" spans="1:2" ht="29" x14ac:dyDescent="0.35">
      <c r="A91" s="116" t="s">
        <v>279</v>
      </c>
      <c r="B91" s="116"/>
    </row>
    <row r="92" spans="1:2" ht="98.5" x14ac:dyDescent="0.35">
      <c r="A92" s="116" t="s">
        <v>280</v>
      </c>
      <c r="B92" s="116"/>
    </row>
    <row r="93" spans="1:2" ht="261" x14ac:dyDescent="0.35">
      <c r="A93" s="116" t="s">
        <v>82</v>
      </c>
      <c r="B93" s="116"/>
    </row>
    <row r="94" spans="1:2" ht="29" x14ac:dyDescent="0.35">
      <c r="A94" s="116" t="s">
        <v>281</v>
      </c>
      <c r="B94" s="116"/>
    </row>
    <row r="95" spans="1:2" x14ac:dyDescent="0.35">
      <c r="A95" s="116" t="s">
        <v>482</v>
      </c>
      <c r="B95" s="116"/>
    </row>
    <row r="96" spans="1:2" x14ac:dyDescent="0.35">
      <c r="A96" s="116" t="s">
        <v>162</v>
      </c>
      <c r="B96" s="116"/>
    </row>
    <row r="97" spans="1:2" x14ac:dyDescent="0.35">
      <c r="A97" s="118" t="s">
        <v>166</v>
      </c>
      <c r="B97" s="118"/>
    </row>
    <row r="98" spans="1:2" ht="25" x14ac:dyDescent="0.35">
      <c r="A98" s="118" t="s">
        <v>171</v>
      </c>
      <c r="B98" s="118"/>
    </row>
    <row r="99" spans="1:2" x14ac:dyDescent="0.35">
      <c r="A99" s="118" t="s">
        <v>1303</v>
      </c>
      <c r="B99" s="118"/>
    </row>
    <row r="100" spans="1:2" x14ac:dyDescent="0.35">
      <c r="A100" s="119" t="s">
        <v>172</v>
      </c>
      <c r="B100" s="119"/>
    </row>
    <row r="101" spans="1:2" x14ac:dyDescent="0.35">
      <c r="A101" s="120" t="str">
        <f>CONCATENATE("Please choose width. ",IF(B100=yes,"&lt; 4m=0, 4-4.3m=1, &gt;4.3m=2, no ramps=2","&lt; 3m=0, 3-3.3m=1, &gt;3.3m=2, no ramps=2"))</f>
        <v>Please choose width. &lt; 3m=0, 3-3.3m=1, &gt;3.3m=2, no ramps=2</v>
      </c>
      <c r="B101" s="120"/>
    </row>
    <row r="102" spans="1:2" ht="37.5" x14ac:dyDescent="0.35">
      <c r="A102" s="118" t="s">
        <v>178</v>
      </c>
      <c r="B102" s="118"/>
    </row>
    <row r="103" spans="1:2" ht="25" x14ac:dyDescent="0.35">
      <c r="A103" s="118" t="s">
        <v>179</v>
      </c>
      <c r="B103" s="118"/>
    </row>
    <row r="104" spans="1:2" ht="25" x14ac:dyDescent="0.35">
      <c r="A104" s="118" t="s">
        <v>180</v>
      </c>
      <c r="B104" s="118"/>
    </row>
    <row r="105" spans="1:2" x14ac:dyDescent="0.35">
      <c r="A105" s="116" t="s">
        <v>181</v>
      </c>
      <c r="B105" s="116"/>
    </row>
    <row r="106" spans="1:2" x14ac:dyDescent="0.35">
      <c r="A106" s="116" t="s">
        <v>276</v>
      </c>
      <c r="B106" s="116"/>
    </row>
    <row r="107" spans="1:2" ht="72.5" x14ac:dyDescent="0.35">
      <c r="A107" s="116" t="s">
        <v>694</v>
      </c>
      <c r="B107" s="116"/>
    </row>
    <row r="108" spans="1:2" ht="29" x14ac:dyDescent="0.35">
      <c r="A108" s="116" t="s">
        <v>494</v>
      </c>
      <c r="B108" s="116"/>
    </row>
    <row r="109" spans="1:2" ht="29" x14ac:dyDescent="0.35">
      <c r="A109" s="116" t="s">
        <v>193</v>
      </c>
      <c r="B109" s="116"/>
    </row>
    <row r="110" spans="1:2" ht="29" x14ac:dyDescent="0.35">
      <c r="A110" s="116" t="s">
        <v>194</v>
      </c>
      <c r="B110" s="116"/>
    </row>
    <row r="111" spans="1:2" ht="29" x14ac:dyDescent="0.35">
      <c r="A111" s="116" t="s">
        <v>197</v>
      </c>
      <c r="B111" s="116"/>
    </row>
    <row r="112" spans="1:2" x14ac:dyDescent="0.35">
      <c r="A112" s="116" t="s">
        <v>198</v>
      </c>
      <c r="B112" s="116"/>
    </row>
    <row r="113" spans="1:2" x14ac:dyDescent="0.35">
      <c r="A113" s="116" t="s">
        <v>268</v>
      </c>
      <c r="B113" s="116"/>
    </row>
    <row r="114" spans="1:2" x14ac:dyDescent="0.35">
      <c r="A114" s="116" t="s">
        <v>269</v>
      </c>
      <c r="B114" s="116"/>
    </row>
    <row r="115" spans="1:2" x14ac:dyDescent="0.35">
      <c r="A115" s="116" t="s">
        <v>199</v>
      </c>
      <c r="B115" s="116"/>
    </row>
    <row r="116" spans="1:2" x14ac:dyDescent="0.35">
      <c r="A116" s="116" t="s">
        <v>203</v>
      </c>
      <c r="B116" s="116"/>
    </row>
    <row r="117" spans="1:2" ht="29" x14ac:dyDescent="0.35">
      <c r="A117" s="116" t="s">
        <v>495</v>
      </c>
      <c r="B117" s="116"/>
    </row>
    <row r="118" spans="1:2" ht="29" x14ac:dyDescent="0.35">
      <c r="A118" s="116" t="s">
        <v>496</v>
      </c>
      <c r="B118" s="116"/>
    </row>
    <row r="119" spans="1:2" ht="29" x14ac:dyDescent="0.35">
      <c r="A119" s="116" t="s">
        <v>497</v>
      </c>
      <c r="B119" s="116"/>
    </row>
    <row r="120" spans="1:2" x14ac:dyDescent="0.35">
      <c r="A120" s="116" t="s">
        <v>209</v>
      </c>
      <c r="B120" s="116"/>
    </row>
    <row r="121" spans="1:2" x14ac:dyDescent="0.35">
      <c r="A121" s="116" t="s">
        <v>210</v>
      </c>
      <c r="B121" s="116"/>
    </row>
    <row r="122" spans="1:2" x14ac:dyDescent="0.35">
      <c r="A122" s="116" t="s">
        <v>505</v>
      </c>
      <c r="B122" s="116"/>
    </row>
    <row r="123" spans="1:2" ht="29" x14ac:dyDescent="0.35">
      <c r="A123" s="116" t="s">
        <v>498</v>
      </c>
      <c r="B123" s="116"/>
    </row>
    <row r="124" spans="1:2" x14ac:dyDescent="0.35">
      <c r="A124" s="116" t="s">
        <v>499</v>
      </c>
      <c r="B124" s="116"/>
    </row>
    <row r="125" spans="1:2" x14ac:dyDescent="0.35">
      <c r="A125" s="116" t="s">
        <v>504</v>
      </c>
      <c r="B125" s="116"/>
    </row>
    <row r="126" spans="1:2" x14ac:dyDescent="0.35">
      <c r="A126" s="116" t="s">
        <v>248</v>
      </c>
      <c r="B126" s="116"/>
    </row>
    <row r="127" spans="1:2" x14ac:dyDescent="0.35">
      <c r="A127" s="116" t="s">
        <v>249</v>
      </c>
      <c r="B127" s="116"/>
    </row>
    <row r="128" spans="1:2" ht="29" x14ac:dyDescent="0.35">
      <c r="A128" s="116" t="s">
        <v>502</v>
      </c>
      <c r="B128" s="116"/>
    </row>
    <row r="129" spans="1:2" x14ac:dyDescent="0.35">
      <c r="A129" s="118" t="s">
        <v>500</v>
      </c>
      <c r="B129" s="118"/>
    </row>
    <row r="130" spans="1:2" x14ac:dyDescent="0.35">
      <c r="A130" s="119" t="s">
        <v>212</v>
      </c>
      <c r="B130" s="119"/>
    </row>
    <row r="131" spans="1:2" x14ac:dyDescent="0.35">
      <c r="A131" s="120" t="s">
        <v>501</v>
      </c>
      <c r="B131" s="120"/>
    </row>
    <row r="132" spans="1:2" x14ac:dyDescent="0.35">
      <c r="A132" s="118" t="s">
        <v>1305</v>
      </c>
      <c r="B132" s="118"/>
    </row>
    <row r="133" spans="1:2" x14ac:dyDescent="0.35">
      <c r="A133" s="121" t="s">
        <v>253</v>
      </c>
      <c r="B133" s="121"/>
    </row>
    <row r="134" spans="1:2" x14ac:dyDescent="0.35">
      <c r="A134" s="121" t="s">
        <v>254</v>
      </c>
      <c r="B134" s="121"/>
    </row>
    <row r="135" spans="1:2" ht="25" x14ac:dyDescent="0.35">
      <c r="A135" s="121" t="s">
        <v>255</v>
      </c>
      <c r="B135" s="121"/>
    </row>
    <row r="136" spans="1:2" x14ac:dyDescent="0.35">
      <c r="A136" s="121" t="s">
        <v>256</v>
      </c>
      <c r="B136" s="121"/>
    </row>
    <row r="137" spans="1:2" ht="25" x14ac:dyDescent="0.35">
      <c r="A137" s="118" t="s">
        <v>437</v>
      </c>
      <c r="B137" s="118"/>
    </row>
    <row r="138" spans="1:2" x14ac:dyDescent="0.35">
      <c r="A138" s="116" t="s">
        <v>182</v>
      </c>
      <c r="B138" s="116"/>
    </row>
    <row r="139" spans="1:2" x14ac:dyDescent="0.35">
      <c r="A139" s="116" t="s">
        <v>276</v>
      </c>
      <c r="B139" s="116"/>
    </row>
    <row r="140" spans="1:2" x14ac:dyDescent="0.35">
      <c r="A140" s="116" t="s">
        <v>93</v>
      </c>
      <c r="B140" s="116"/>
    </row>
    <row r="141" spans="1:2" ht="29" x14ac:dyDescent="0.35">
      <c r="A141" s="116" t="s">
        <v>309</v>
      </c>
      <c r="B141" s="116"/>
    </row>
    <row r="142" spans="1:2" x14ac:dyDescent="0.35">
      <c r="A142" s="116" t="s">
        <v>290</v>
      </c>
      <c r="B142" s="116"/>
    </row>
    <row r="143" spans="1:2" x14ac:dyDescent="0.35">
      <c r="A143" s="116" t="s">
        <v>282</v>
      </c>
      <c r="B143" s="116"/>
    </row>
    <row r="144" spans="1:2" x14ac:dyDescent="0.35">
      <c r="A144" s="116" t="s">
        <v>283</v>
      </c>
      <c r="B144" s="116"/>
    </row>
    <row r="145" spans="1:2" x14ac:dyDescent="0.35">
      <c r="A145" s="116" t="s">
        <v>284</v>
      </c>
      <c r="B145" s="116"/>
    </row>
    <row r="146" spans="1:2" x14ac:dyDescent="0.35">
      <c r="A146" s="116" t="s">
        <v>285</v>
      </c>
      <c r="B146" s="116"/>
    </row>
    <row r="147" spans="1:2" x14ac:dyDescent="0.35">
      <c r="A147" s="116" t="s">
        <v>286</v>
      </c>
      <c r="B147" s="116"/>
    </row>
    <row r="148" spans="1:2" x14ac:dyDescent="0.35">
      <c r="A148" s="116" t="s">
        <v>287</v>
      </c>
      <c r="B148" s="116"/>
    </row>
    <row r="149" spans="1:2" x14ac:dyDescent="0.35">
      <c r="A149" s="116" t="s">
        <v>288</v>
      </c>
      <c r="B149" s="116"/>
    </row>
    <row r="150" spans="1:2" x14ac:dyDescent="0.35">
      <c r="A150" s="116" t="s">
        <v>289</v>
      </c>
      <c r="B150" s="116"/>
    </row>
    <row r="151" spans="1:2" x14ac:dyDescent="0.35">
      <c r="A151" s="116" t="s">
        <v>292</v>
      </c>
      <c r="B151" s="116"/>
    </row>
    <row r="152" spans="1:2" ht="29" x14ac:dyDescent="0.35">
      <c r="A152" s="116" t="s">
        <v>291</v>
      </c>
      <c r="B152" s="116"/>
    </row>
    <row r="153" spans="1:2" ht="29" x14ac:dyDescent="0.35">
      <c r="A153" s="116" t="s">
        <v>293</v>
      </c>
      <c r="B153" s="116"/>
    </row>
    <row r="154" spans="1:2" ht="29" x14ac:dyDescent="0.35">
      <c r="A154" s="116" t="s">
        <v>299</v>
      </c>
      <c r="B154" s="116"/>
    </row>
    <row r="155" spans="1:2" ht="58" x14ac:dyDescent="0.35">
      <c r="A155" s="116" t="s">
        <v>304</v>
      </c>
      <c r="B155" s="116"/>
    </row>
    <row r="156" spans="1:2" ht="43.5" x14ac:dyDescent="0.35">
      <c r="A156" s="116" t="s">
        <v>514</v>
      </c>
      <c r="B156" s="116"/>
    </row>
    <row r="157" spans="1:2" ht="43.5" x14ac:dyDescent="0.35">
      <c r="A157" s="116" t="s">
        <v>310</v>
      </c>
      <c r="B157" s="116"/>
    </row>
    <row r="158" spans="1:2" x14ac:dyDescent="0.35">
      <c r="A158" s="116" t="s">
        <v>438</v>
      </c>
      <c r="B158" s="116"/>
    </row>
    <row r="159" spans="1:2" x14ac:dyDescent="0.35">
      <c r="A159" s="116" t="s">
        <v>276</v>
      </c>
      <c r="B159" s="116"/>
    </row>
    <row r="160" spans="1:2" x14ac:dyDescent="0.35">
      <c r="A160" s="118" t="s">
        <v>1306</v>
      </c>
      <c r="B160" s="118"/>
    </row>
    <row r="161" spans="1:2" x14ac:dyDescent="0.35">
      <c r="A161" s="121" t="s">
        <v>314</v>
      </c>
      <c r="B161" s="121"/>
    </row>
    <row r="162" spans="1:2" x14ac:dyDescent="0.35">
      <c r="A162" s="121" t="s">
        <v>315</v>
      </c>
      <c r="B162" s="121"/>
    </row>
    <row r="163" spans="1:2" x14ac:dyDescent="0.35">
      <c r="A163" s="121" t="s">
        <v>316</v>
      </c>
      <c r="B163" s="121"/>
    </row>
    <row r="164" spans="1:2" x14ac:dyDescent="0.35">
      <c r="A164" s="118" t="s">
        <v>321</v>
      </c>
      <c r="B164" s="118"/>
    </row>
    <row r="165" spans="1:2" ht="25" x14ac:dyDescent="0.35">
      <c r="A165" s="119" t="s">
        <v>322</v>
      </c>
      <c r="B165" s="119"/>
    </row>
    <row r="166" spans="1:2" ht="25" x14ac:dyDescent="0.35">
      <c r="A166" s="119" t="s">
        <v>323</v>
      </c>
      <c r="B166" s="119"/>
    </row>
    <row r="167" spans="1:2" ht="62.5" x14ac:dyDescent="0.35">
      <c r="A167" s="118" t="s">
        <v>1777</v>
      </c>
      <c r="B167" s="118"/>
    </row>
    <row r="168" spans="1:2" ht="25" x14ac:dyDescent="0.35">
      <c r="A168" s="118" t="s">
        <v>1781</v>
      </c>
      <c r="B168" s="118"/>
    </row>
    <row r="169" spans="1:2" ht="37.5" x14ac:dyDescent="0.35">
      <c r="A169" s="118" t="s">
        <v>331</v>
      </c>
      <c r="B169" s="118"/>
    </row>
    <row r="170" spans="1:2" ht="25" x14ac:dyDescent="0.35">
      <c r="A170" s="118" t="s">
        <v>332</v>
      </c>
      <c r="B170" s="118"/>
    </row>
    <row r="171" spans="1:2" ht="25" x14ac:dyDescent="0.35">
      <c r="A171" s="118" t="s">
        <v>336</v>
      </c>
      <c r="B171" s="118"/>
    </row>
    <row r="172" spans="1:2" x14ac:dyDescent="0.35">
      <c r="A172" s="118" t="s">
        <v>337</v>
      </c>
      <c r="B172" s="118"/>
    </row>
    <row r="173" spans="1:2" x14ac:dyDescent="0.35">
      <c r="A173" s="119" t="s">
        <v>338</v>
      </c>
      <c r="B173" s="119"/>
    </row>
    <row r="174" spans="1:2" x14ac:dyDescent="0.35">
      <c r="A174" s="119" t="s">
        <v>339</v>
      </c>
      <c r="B174" s="119"/>
    </row>
    <row r="175" spans="1:2" x14ac:dyDescent="0.35">
      <c r="A175" s="118" t="s">
        <v>340</v>
      </c>
      <c r="B175" s="118"/>
    </row>
    <row r="176" spans="1:2" x14ac:dyDescent="0.35">
      <c r="A176" s="121" t="s">
        <v>341</v>
      </c>
      <c r="B176" s="121"/>
    </row>
    <row r="177" spans="1:2" x14ac:dyDescent="0.35">
      <c r="A177" s="121" t="s">
        <v>342</v>
      </c>
      <c r="B177" s="121"/>
    </row>
    <row r="178" spans="1:2" x14ac:dyDescent="0.35">
      <c r="A178" s="121" t="s">
        <v>343</v>
      </c>
      <c r="B178" s="121"/>
    </row>
    <row r="179" spans="1:2" x14ac:dyDescent="0.35">
      <c r="A179" s="122" t="s">
        <v>183</v>
      </c>
      <c r="B179" s="122"/>
    </row>
    <row r="180" spans="1:2" x14ac:dyDescent="0.35">
      <c r="A180" s="118" t="s">
        <v>1307</v>
      </c>
      <c r="B180" s="118"/>
    </row>
    <row r="181" spans="1:2" x14ac:dyDescent="0.35">
      <c r="A181" s="121" t="s">
        <v>344</v>
      </c>
      <c r="B181" s="121"/>
    </row>
    <row r="182" spans="1:2" x14ac:dyDescent="0.35">
      <c r="A182" s="121" t="s">
        <v>345</v>
      </c>
      <c r="B182" s="121"/>
    </row>
    <row r="183" spans="1:2" x14ac:dyDescent="0.35">
      <c r="A183" s="121" t="s">
        <v>346</v>
      </c>
      <c r="B183" s="121"/>
    </row>
    <row r="184" spans="1:2" x14ac:dyDescent="0.35">
      <c r="A184" s="118" t="s">
        <v>347</v>
      </c>
      <c r="B184" s="118"/>
    </row>
    <row r="185" spans="1:2" x14ac:dyDescent="0.35">
      <c r="A185" s="121" t="s">
        <v>348</v>
      </c>
      <c r="B185" s="121"/>
    </row>
    <row r="186" spans="1:2" x14ac:dyDescent="0.35">
      <c r="A186" s="121" t="s">
        <v>349</v>
      </c>
      <c r="B186" s="121"/>
    </row>
    <row r="187" spans="1:2" x14ac:dyDescent="0.35">
      <c r="A187" s="121" t="s">
        <v>351</v>
      </c>
      <c r="B187" s="121"/>
    </row>
    <row r="188" spans="1:2" x14ac:dyDescent="0.35">
      <c r="A188" s="121" t="s">
        <v>350</v>
      </c>
      <c r="B188" s="121"/>
    </row>
    <row r="189" spans="1:2" x14ac:dyDescent="0.35">
      <c r="A189" s="121" t="s">
        <v>352</v>
      </c>
      <c r="B189" s="121"/>
    </row>
    <row r="190" spans="1:2" x14ac:dyDescent="0.35">
      <c r="A190" s="121" t="s">
        <v>353</v>
      </c>
      <c r="B190" s="121"/>
    </row>
    <row r="191" spans="1:2" x14ac:dyDescent="0.35">
      <c r="A191" s="121" t="s">
        <v>354</v>
      </c>
      <c r="B191" s="121"/>
    </row>
    <row r="192" spans="1:2" x14ac:dyDescent="0.35">
      <c r="A192" s="121" t="s">
        <v>355</v>
      </c>
      <c r="B192" s="121"/>
    </row>
    <row r="193" spans="1:2" x14ac:dyDescent="0.35">
      <c r="A193" s="118" t="s">
        <v>360</v>
      </c>
      <c r="B193" s="118"/>
    </row>
    <row r="194" spans="1:2" x14ac:dyDescent="0.35">
      <c r="A194" s="118" t="s">
        <v>361</v>
      </c>
      <c r="B194" s="118"/>
    </row>
    <row r="195" spans="1:2" ht="50" x14ac:dyDescent="0.35">
      <c r="A195" s="119" t="s">
        <v>538</v>
      </c>
      <c r="B195" s="119"/>
    </row>
    <row r="196" spans="1:2" ht="25" x14ac:dyDescent="0.35">
      <c r="A196" s="119" t="s">
        <v>365</v>
      </c>
      <c r="B196" s="119"/>
    </row>
    <row r="197" spans="1:2" x14ac:dyDescent="0.35">
      <c r="A197" s="118" t="s">
        <v>369</v>
      </c>
      <c r="B197" s="118"/>
    </row>
    <row r="198" spans="1:2" x14ac:dyDescent="0.35">
      <c r="A198" s="121" t="s">
        <v>370</v>
      </c>
      <c r="B198" s="121"/>
    </row>
    <row r="199" spans="1:2" x14ac:dyDescent="0.35">
      <c r="A199" s="121" t="s">
        <v>371</v>
      </c>
      <c r="B199" s="121"/>
    </row>
    <row r="200" spans="1:2" x14ac:dyDescent="0.35">
      <c r="A200" s="121" t="s">
        <v>372</v>
      </c>
      <c r="B200" s="121"/>
    </row>
    <row r="201" spans="1:2" x14ac:dyDescent="0.35">
      <c r="A201" s="121" t="s">
        <v>375</v>
      </c>
      <c r="B201" s="121"/>
    </row>
    <row r="202" spans="1:2" x14ac:dyDescent="0.35">
      <c r="A202" s="118" t="s">
        <v>376</v>
      </c>
      <c r="B202" s="118"/>
    </row>
    <row r="203" spans="1:2" x14ac:dyDescent="0.35">
      <c r="A203" s="119" t="s">
        <v>377</v>
      </c>
      <c r="B203" s="119"/>
    </row>
    <row r="204" spans="1:2" x14ac:dyDescent="0.35">
      <c r="A204" s="119" t="s">
        <v>378</v>
      </c>
      <c r="B204" s="119"/>
    </row>
    <row r="205" spans="1:2" x14ac:dyDescent="0.35">
      <c r="A205" s="118" t="s">
        <v>382</v>
      </c>
      <c r="B205" s="118"/>
    </row>
    <row r="206" spans="1:2" x14ac:dyDescent="0.35">
      <c r="A206" s="121" t="s">
        <v>384</v>
      </c>
      <c r="B206" s="121"/>
    </row>
    <row r="207" spans="1:2" x14ac:dyDescent="0.35">
      <c r="A207" s="121" t="s">
        <v>383</v>
      </c>
      <c r="B207" s="121"/>
    </row>
    <row r="208" spans="1:2" x14ac:dyDescent="0.35">
      <c r="A208" s="121" t="s">
        <v>385</v>
      </c>
      <c r="B208" s="121"/>
    </row>
    <row r="209" spans="1:2" x14ac:dyDescent="0.35">
      <c r="A209" s="118" t="s">
        <v>386</v>
      </c>
      <c r="B209" s="118"/>
    </row>
    <row r="210" spans="1:2" x14ac:dyDescent="0.35">
      <c r="A210" s="118" t="s">
        <v>387</v>
      </c>
      <c r="B210" s="118"/>
    </row>
    <row r="211" spans="1:2" x14ac:dyDescent="0.35">
      <c r="A211" s="118" t="s">
        <v>390</v>
      </c>
      <c r="B211" s="118"/>
    </row>
    <row r="212" spans="1:2" x14ac:dyDescent="0.35">
      <c r="A212" s="119" t="s">
        <v>388</v>
      </c>
      <c r="B212" s="119"/>
    </row>
    <row r="213" spans="1:2" x14ac:dyDescent="0.35">
      <c r="A213" s="119" t="s">
        <v>389</v>
      </c>
      <c r="B213" s="119"/>
    </row>
    <row r="214" spans="1:2" x14ac:dyDescent="0.35">
      <c r="A214" s="116" t="s">
        <v>184</v>
      </c>
      <c r="B214" s="116"/>
    </row>
    <row r="215" spans="1:2" x14ac:dyDescent="0.35">
      <c r="A215" s="116" t="s">
        <v>392</v>
      </c>
      <c r="B215" s="116"/>
    </row>
    <row r="216" spans="1:2" x14ac:dyDescent="0.35">
      <c r="A216" s="116" t="s">
        <v>391</v>
      </c>
      <c r="B216" s="116"/>
    </row>
    <row r="217" spans="1:2" x14ac:dyDescent="0.35">
      <c r="A217" s="116" t="s">
        <v>1724</v>
      </c>
      <c r="B217" s="116"/>
    </row>
    <row r="218" spans="1:2" x14ac:dyDescent="0.35">
      <c r="A218" s="116" t="s">
        <v>1310</v>
      </c>
      <c r="B218" s="116"/>
    </row>
    <row r="219" spans="1:2" ht="29" x14ac:dyDescent="0.35">
      <c r="A219" s="116" t="s">
        <v>1311</v>
      </c>
      <c r="B219" s="116"/>
    </row>
    <row r="220" spans="1:2" ht="43.5" x14ac:dyDescent="0.35">
      <c r="A220" s="116" t="s">
        <v>394</v>
      </c>
      <c r="B220" s="116"/>
    </row>
    <row r="221" spans="1:2" x14ac:dyDescent="0.35">
      <c r="A221" s="116" t="s">
        <v>393</v>
      </c>
      <c r="B221" s="116"/>
    </row>
    <row r="222" spans="1:2" ht="29" x14ac:dyDescent="0.35">
      <c r="A222" s="116" t="s">
        <v>103</v>
      </c>
      <c r="B222" s="116"/>
    </row>
    <row r="223" spans="1:2" ht="43.5" x14ac:dyDescent="0.35">
      <c r="A223" s="116" t="s">
        <v>104</v>
      </c>
      <c r="B223" s="116"/>
    </row>
    <row r="224" spans="1:2" ht="29" x14ac:dyDescent="0.35">
      <c r="A224" s="116" t="s">
        <v>397</v>
      </c>
      <c r="B224" s="116"/>
    </row>
    <row r="225" spans="1:2" ht="29" x14ac:dyDescent="0.35">
      <c r="A225" s="116" t="s">
        <v>105</v>
      </c>
      <c r="B225" s="116"/>
    </row>
    <row r="226" spans="1:2" ht="29" x14ac:dyDescent="0.35">
      <c r="A226" s="116" t="s">
        <v>106</v>
      </c>
      <c r="B226" s="116"/>
    </row>
    <row r="227" spans="1:2" x14ac:dyDescent="0.35">
      <c r="A227" s="116" t="s">
        <v>185</v>
      </c>
      <c r="B227" s="116"/>
    </row>
    <row r="228" spans="1:2" x14ac:dyDescent="0.35">
      <c r="A228" s="116" t="s">
        <v>398</v>
      </c>
      <c r="B228" s="116"/>
    </row>
    <row r="229" spans="1:2" x14ac:dyDescent="0.35">
      <c r="A229" s="116" t="s">
        <v>399</v>
      </c>
      <c r="B229" s="116"/>
    </row>
    <row r="230" spans="1:2" x14ac:dyDescent="0.35">
      <c r="A230" s="116" t="s">
        <v>400</v>
      </c>
      <c r="B230" s="116"/>
    </row>
    <row r="231" spans="1:2" x14ac:dyDescent="0.35">
      <c r="A231" s="116" t="s">
        <v>401</v>
      </c>
      <c r="B231" s="116"/>
    </row>
    <row r="232" spans="1:2" x14ac:dyDescent="0.35">
      <c r="A232" s="116" t="s">
        <v>402</v>
      </c>
      <c r="B232" s="116"/>
    </row>
    <row r="233" spans="1:2" x14ac:dyDescent="0.35">
      <c r="A233" s="116" t="s">
        <v>403</v>
      </c>
      <c r="B233" s="116"/>
    </row>
    <row r="234" spans="1:2" x14ac:dyDescent="0.35">
      <c r="A234" s="116" t="s">
        <v>404</v>
      </c>
      <c r="B234" s="116"/>
    </row>
    <row r="235" spans="1:2" x14ac:dyDescent="0.35">
      <c r="A235" s="116" t="s">
        <v>399</v>
      </c>
      <c r="B235" s="116"/>
    </row>
    <row r="236" spans="1:2" x14ac:dyDescent="0.35">
      <c r="A236" s="116" t="s">
        <v>400</v>
      </c>
      <c r="B236" s="116"/>
    </row>
    <row r="237" spans="1:2" x14ac:dyDescent="0.35">
      <c r="A237" s="116" t="s">
        <v>401</v>
      </c>
      <c r="B237" s="116"/>
    </row>
    <row r="238" spans="1:2" x14ac:dyDescent="0.35">
      <c r="A238" s="116" t="s">
        <v>402</v>
      </c>
      <c r="B238" s="116"/>
    </row>
    <row r="239" spans="1:2" x14ac:dyDescent="0.35">
      <c r="A239" s="116" t="s">
        <v>405</v>
      </c>
      <c r="B239" s="116"/>
    </row>
    <row r="240" spans="1:2" x14ac:dyDescent="0.35">
      <c r="A240" s="116" t="s">
        <v>406</v>
      </c>
      <c r="B240" s="116"/>
    </row>
    <row r="241" spans="1:2" x14ac:dyDescent="0.35">
      <c r="A241" s="116" t="s">
        <v>399</v>
      </c>
      <c r="B241" s="116"/>
    </row>
    <row r="242" spans="1:2" x14ac:dyDescent="0.35">
      <c r="A242" s="116" t="s">
        <v>400</v>
      </c>
      <c r="B242" s="116"/>
    </row>
    <row r="243" spans="1:2" x14ac:dyDescent="0.35">
      <c r="A243" s="116" t="s">
        <v>402</v>
      </c>
      <c r="B243" s="116"/>
    </row>
    <row r="244" spans="1:2" x14ac:dyDescent="0.35">
      <c r="A244" s="116" t="s">
        <v>407</v>
      </c>
      <c r="B244" s="116"/>
    </row>
    <row r="245" spans="1:2" x14ac:dyDescent="0.35">
      <c r="A245" s="116" t="s">
        <v>408</v>
      </c>
      <c r="B245" s="116"/>
    </row>
    <row r="246" spans="1:2" x14ac:dyDescent="0.35">
      <c r="A246" s="116" t="s">
        <v>409</v>
      </c>
      <c r="B246" s="116"/>
    </row>
    <row r="247" spans="1:2" x14ac:dyDescent="0.35">
      <c r="A247" s="116" t="s">
        <v>410</v>
      </c>
      <c r="B247" s="116"/>
    </row>
    <row r="248" spans="1:2" x14ac:dyDescent="0.35">
      <c r="A248" s="116" t="s">
        <v>411</v>
      </c>
      <c r="B248" s="116"/>
    </row>
    <row r="249" spans="1:2" x14ac:dyDescent="0.35">
      <c r="A249" s="116" t="s">
        <v>412</v>
      </c>
      <c r="B249" s="116"/>
    </row>
    <row r="250" spans="1:2" x14ac:dyDescent="0.35">
      <c r="A250" s="116" t="s">
        <v>413</v>
      </c>
      <c r="B250" s="116"/>
    </row>
    <row r="251" spans="1:2" x14ac:dyDescent="0.35">
      <c r="A251" s="116" t="s">
        <v>399</v>
      </c>
      <c r="B251" s="116"/>
    </row>
    <row r="252" spans="1:2" x14ac:dyDescent="0.35">
      <c r="A252" s="116" t="s">
        <v>414</v>
      </c>
      <c r="B252" s="116"/>
    </row>
    <row r="253" spans="1:2" ht="29" x14ac:dyDescent="0.35">
      <c r="A253" s="116" t="s">
        <v>415</v>
      </c>
      <c r="B253" s="116"/>
    </row>
    <row r="254" spans="1:2" ht="29" x14ac:dyDescent="0.35">
      <c r="A254" s="116" t="s">
        <v>107</v>
      </c>
      <c r="B254" s="116"/>
    </row>
    <row r="255" spans="1:2" x14ac:dyDescent="0.35">
      <c r="A255" s="116" t="s">
        <v>1772</v>
      </c>
      <c r="B255" s="116"/>
    </row>
    <row r="256" spans="1:2" x14ac:dyDescent="0.35">
      <c r="A256" s="116" t="s">
        <v>186</v>
      </c>
      <c r="B256" s="116"/>
    </row>
    <row r="257" spans="1:2" x14ac:dyDescent="0.35">
      <c r="A257" s="116" t="s">
        <v>416</v>
      </c>
      <c r="B257" s="116"/>
    </row>
    <row r="258" spans="1:2" x14ac:dyDescent="0.35">
      <c r="A258" s="116" t="s">
        <v>417</v>
      </c>
      <c r="B258" s="116"/>
    </row>
    <row r="259" spans="1:2" x14ac:dyDescent="0.35">
      <c r="A259" s="116" t="s">
        <v>418</v>
      </c>
      <c r="B259" s="116"/>
    </row>
    <row r="260" spans="1:2" x14ac:dyDescent="0.35">
      <c r="A260" s="116" t="s">
        <v>419</v>
      </c>
      <c r="B260" s="116"/>
    </row>
    <row r="261" spans="1:2" x14ac:dyDescent="0.35">
      <c r="A261" s="116" t="s">
        <v>420</v>
      </c>
      <c r="B261" s="116"/>
    </row>
    <row r="262" spans="1:2" x14ac:dyDescent="0.35">
      <c r="A262" s="116" t="s">
        <v>421</v>
      </c>
      <c r="B262" s="116"/>
    </row>
    <row r="263" spans="1:2" x14ac:dyDescent="0.35">
      <c r="A263" s="116" t="s">
        <v>422</v>
      </c>
      <c r="B263" s="116"/>
    </row>
    <row r="264" spans="1:2" x14ac:dyDescent="0.35">
      <c r="A264" s="116" t="s">
        <v>423</v>
      </c>
      <c r="B264" s="116"/>
    </row>
    <row r="265" spans="1:2" x14ac:dyDescent="0.35">
      <c r="A265" s="116" t="s">
        <v>424</v>
      </c>
      <c r="B265" s="116"/>
    </row>
    <row r="266" spans="1:2" x14ac:dyDescent="0.35">
      <c r="A266" s="116" t="s">
        <v>425</v>
      </c>
      <c r="B266" s="116"/>
    </row>
    <row r="267" spans="1:2" x14ac:dyDescent="0.35">
      <c r="A267" s="116" t="s">
        <v>426</v>
      </c>
      <c r="B267" s="116"/>
    </row>
    <row r="268" spans="1:2" ht="29" x14ac:dyDescent="0.35">
      <c r="A268" s="116" t="s">
        <v>427</v>
      </c>
      <c r="B268" s="116"/>
    </row>
    <row r="269" spans="1:2" ht="29" x14ac:dyDescent="0.35">
      <c r="A269" s="116" t="s">
        <v>428</v>
      </c>
      <c r="B269" s="116"/>
    </row>
    <row r="270" spans="1:2" x14ac:dyDescent="0.35">
      <c r="A270" s="116" t="s">
        <v>429</v>
      </c>
      <c r="B270" s="116"/>
    </row>
    <row r="271" spans="1:2" ht="43.5" x14ac:dyDescent="0.35">
      <c r="A271" s="116" t="s">
        <v>264</v>
      </c>
      <c r="B271" s="116"/>
    </row>
    <row r="272" spans="1:2" ht="29" x14ac:dyDescent="0.35">
      <c r="A272" s="116" t="s">
        <v>335</v>
      </c>
      <c r="B272" s="116"/>
    </row>
    <row r="273" spans="1:2" ht="43.5" x14ac:dyDescent="0.35">
      <c r="A273" s="116" t="s">
        <v>537</v>
      </c>
      <c r="B273" s="116"/>
    </row>
    <row r="274" spans="1:2" x14ac:dyDescent="0.35">
      <c r="A274" s="123"/>
      <c r="B274" s="123"/>
    </row>
    <row r="275" spans="1:2" x14ac:dyDescent="0.35">
      <c r="A275" s="123"/>
      <c r="B275" s="123"/>
    </row>
    <row r="276" spans="1:2" x14ac:dyDescent="0.35">
      <c r="A276" s="123"/>
      <c r="B276" s="123"/>
    </row>
    <row r="277" spans="1:2" x14ac:dyDescent="0.35">
      <c r="A277" s="123"/>
      <c r="B277" s="123"/>
    </row>
    <row r="278" spans="1:2" x14ac:dyDescent="0.35">
      <c r="A278" s="123"/>
      <c r="B278" s="123"/>
    </row>
    <row r="279" spans="1:2" x14ac:dyDescent="0.35">
      <c r="A279" s="123"/>
      <c r="B279" s="123"/>
    </row>
    <row r="280" spans="1:2" x14ac:dyDescent="0.35">
      <c r="A280" s="123"/>
      <c r="B280" s="123"/>
    </row>
    <row r="281" spans="1:2" x14ac:dyDescent="0.35">
      <c r="A281" s="123"/>
      <c r="B281" s="123"/>
    </row>
    <row r="282" spans="1:2" x14ac:dyDescent="0.35">
      <c r="A282" s="123"/>
      <c r="B282" s="123"/>
    </row>
    <row r="283" spans="1:2" x14ac:dyDescent="0.35">
      <c r="A283" s="123"/>
      <c r="B283" s="123"/>
    </row>
    <row r="284" spans="1:2" x14ac:dyDescent="0.35">
      <c r="A284" s="123"/>
      <c r="B284" s="123"/>
    </row>
    <row r="285" spans="1:2" x14ac:dyDescent="0.35">
      <c r="A285" s="123"/>
      <c r="B285" s="123"/>
    </row>
    <row r="286" spans="1:2" x14ac:dyDescent="0.35">
      <c r="A286" s="123"/>
      <c r="B286" s="123"/>
    </row>
    <row r="287" spans="1:2" x14ac:dyDescent="0.35">
      <c r="A287" s="123"/>
      <c r="B287" s="123"/>
    </row>
    <row r="288" spans="1:2" x14ac:dyDescent="0.35">
      <c r="A288" s="123"/>
      <c r="B288" s="123"/>
    </row>
    <row r="289" spans="1:2" x14ac:dyDescent="0.35">
      <c r="A289" s="123"/>
      <c r="B289" s="123"/>
    </row>
    <row r="290" spans="1:2" x14ac:dyDescent="0.35">
      <c r="A290" s="123"/>
      <c r="B290" s="123"/>
    </row>
    <row r="291" spans="1:2" x14ac:dyDescent="0.35">
      <c r="A291" s="124"/>
      <c r="B291" s="124"/>
    </row>
  </sheetData>
  <sheetProtection formatRows="0" selectLockedCells="1"/>
  <dataConsolidate/>
  <pageMargins left="0.75" right="0.75" top="1" bottom="1" header="0.5" footer="0.5"/>
  <pageSetup paperSize="9" orientation="portrait"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B285"/>
  <sheetViews>
    <sheetView workbookViewId="0"/>
  </sheetViews>
  <sheetFormatPr baseColWidth="10" defaultColWidth="10.81640625" defaultRowHeight="14.5" x14ac:dyDescent="0.35"/>
  <cols>
    <col min="1" max="2" width="40.1796875" style="4" customWidth="1"/>
    <col min="3" max="16384" width="10.81640625" style="4"/>
  </cols>
  <sheetData>
    <row r="1" spans="1:2" ht="26" x14ac:dyDescent="0.35">
      <c r="A1" s="111" t="str">
        <f>'Languages (2)'!A1</f>
        <v>New Language</v>
      </c>
    </row>
    <row r="3" spans="1:2" ht="21" x14ac:dyDescent="0.35">
      <c r="A3" s="125" t="str">
        <f>'Languages (2)'!A3</f>
        <v>English</v>
      </c>
      <c r="B3" s="125" t="str">
        <f>A1</f>
        <v>New Language</v>
      </c>
    </row>
    <row r="4" spans="1:2" x14ac:dyDescent="0.35">
      <c r="A4" s="115" t="s">
        <v>456</v>
      </c>
      <c r="B4" s="115"/>
    </row>
    <row r="5" spans="1:2" x14ac:dyDescent="0.35">
      <c r="A5" s="116" t="s">
        <v>457</v>
      </c>
      <c r="B5" s="116"/>
    </row>
    <row r="6" spans="1:2" x14ac:dyDescent="0.35">
      <c r="A6" s="116" t="s">
        <v>458</v>
      </c>
      <c r="B6" s="116"/>
    </row>
    <row r="7" spans="1:2" x14ac:dyDescent="0.35">
      <c r="A7" s="116"/>
      <c r="B7" s="116"/>
    </row>
    <row r="8" spans="1:2" x14ac:dyDescent="0.35">
      <c r="A8" s="116" t="s">
        <v>459</v>
      </c>
      <c r="B8" s="116"/>
    </row>
    <row r="9" spans="1:2" x14ac:dyDescent="0.35">
      <c r="A9" s="116" t="s">
        <v>460</v>
      </c>
      <c r="B9" s="116"/>
    </row>
    <row r="10" spans="1:2" x14ac:dyDescent="0.35">
      <c r="A10" s="116" t="s">
        <v>461</v>
      </c>
      <c r="B10" s="116"/>
    </row>
    <row r="11" spans="1:2" x14ac:dyDescent="0.35">
      <c r="A11" s="116" t="s">
        <v>462</v>
      </c>
      <c r="B11" s="116"/>
    </row>
    <row r="12" spans="1:2" x14ac:dyDescent="0.35">
      <c r="A12" s="116" t="s">
        <v>463</v>
      </c>
      <c r="B12" s="116"/>
    </row>
    <row r="13" spans="1:2" x14ac:dyDescent="0.35">
      <c r="A13" s="116"/>
      <c r="B13" s="116"/>
    </row>
    <row r="14" spans="1:2" x14ac:dyDescent="0.35">
      <c r="A14" s="116" t="s">
        <v>464</v>
      </c>
      <c r="B14" s="116"/>
    </row>
    <row r="15" spans="1:2" x14ac:dyDescent="0.35">
      <c r="A15" s="116" t="s">
        <v>466</v>
      </c>
      <c r="B15" s="116"/>
    </row>
    <row r="16" spans="1:2" x14ac:dyDescent="0.35">
      <c r="A16" s="116" t="s">
        <v>467</v>
      </c>
      <c r="B16" s="116"/>
    </row>
    <row r="17" spans="1:2" x14ac:dyDescent="0.35">
      <c r="A17" s="116" t="s">
        <v>468</v>
      </c>
      <c r="B17" s="116"/>
    </row>
    <row r="18" spans="1:2" x14ac:dyDescent="0.35">
      <c r="A18" s="116" t="s">
        <v>465</v>
      </c>
      <c r="B18" s="116"/>
    </row>
    <row r="19" spans="1:2" x14ac:dyDescent="0.35">
      <c r="A19" s="116"/>
      <c r="B19" s="116"/>
    </row>
    <row r="20" spans="1:2" x14ac:dyDescent="0.35">
      <c r="A20" s="116" t="s">
        <v>115</v>
      </c>
      <c r="B20" s="116"/>
    </row>
    <row r="21" spans="1:2" x14ac:dyDescent="0.35">
      <c r="A21" s="116" t="s">
        <v>116</v>
      </c>
      <c r="B21" s="116"/>
    </row>
    <row r="22" spans="1:2" x14ac:dyDescent="0.35">
      <c r="A22" s="116"/>
      <c r="B22" s="116"/>
    </row>
    <row r="23" spans="1:2" x14ac:dyDescent="0.35">
      <c r="A23" s="116" t="s">
        <v>130</v>
      </c>
      <c r="B23" s="116"/>
    </row>
    <row r="24" spans="1:2" x14ac:dyDescent="0.35">
      <c r="A24" s="116" t="s">
        <v>131</v>
      </c>
      <c r="B24" s="116"/>
    </row>
    <row r="25" spans="1:2" x14ac:dyDescent="0.35">
      <c r="A25" s="116" t="s">
        <v>211</v>
      </c>
      <c r="B25" s="116"/>
    </row>
    <row r="26" spans="1:2" x14ac:dyDescent="0.35">
      <c r="A26" s="116" t="s">
        <v>213</v>
      </c>
      <c r="B26" s="116"/>
    </row>
    <row r="27" spans="1:2" x14ac:dyDescent="0.35">
      <c r="A27" s="116" t="s">
        <v>214</v>
      </c>
      <c r="B27" s="116"/>
    </row>
    <row r="28" spans="1:2" x14ac:dyDescent="0.35">
      <c r="A28" s="116" t="s">
        <v>215</v>
      </c>
      <c r="B28" s="116"/>
    </row>
    <row r="29" spans="1:2" x14ac:dyDescent="0.35">
      <c r="A29" s="116"/>
      <c r="B29" s="116"/>
    </row>
    <row r="30" spans="1:2" x14ac:dyDescent="0.35">
      <c r="A30" s="116" t="s">
        <v>217</v>
      </c>
      <c r="B30" s="116"/>
    </row>
    <row r="31" spans="1:2" x14ac:dyDescent="0.35">
      <c r="A31" s="116" t="s">
        <v>218</v>
      </c>
      <c r="B31" s="116"/>
    </row>
    <row r="32" spans="1:2" x14ac:dyDescent="0.35">
      <c r="A32" s="116" t="s">
        <v>216</v>
      </c>
      <c r="B32" s="116"/>
    </row>
    <row r="33" spans="1:2" x14ac:dyDescent="0.35">
      <c r="A33" s="116"/>
      <c r="B33" s="116"/>
    </row>
    <row r="34" spans="1:2" x14ac:dyDescent="0.35">
      <c r="A34" s="116" t="s">
        <v>219</v>
      </c>
      <c r="B34" s="116"/>
    </row>
    <row r="35" spans="1:2" x14ac:dyDescent="0.35">
      <c r="A35" s="116" t="s">
        <v>220</v>
      </c>
      <c r="B35" s="116"/>
    </row>
    <row r="36" spans="1:2" x14ac:dyDescent="0.35">
      <c r="A36" s="116" t="s">
        <v>221</v>
      </c>
      <c r="B36" s="116"/>
    </row>
    <row r="37" spans="1:2" x14ac:dyDescent="0.35">
      <c r="A37" s="116"/>
      <c r="B37" s="116"/>
    </row>
    <row r="38" spans="1:2" x14ac:dyDescent="0.35">
      <c r="A38" s="116" t="s">
        <v>223</v>
      </c>
      <c r="B38" s="116"/>
    </row>
    <row r="39" spans="1:2" x14ac:dyDescent="0.35">
      <c r="A39" s="116" t="s">
        <v>224</v>
      </c>
      <c r="B39" s="116"/>
    </row>
    <row r="40" spans="1:2" x14ac:dyDescent="0.35">
      <c r="A40" s="116"/>
      <c r="B40" s="116"/>
    </row>
    <row r="41" spans="1:2" x14ac:dyDescent="0.35">
      <c r="A41" s="116" t="s">
        <v>225</v>
      </c>
      <c r="B41" s="116"/>
    </row>
    <row r="42" spans="1:2" x14ac:dyDescent="0.35">
      <c r="A42" s="116" t="s">
        <v>226</v>
      </c>
      <c r="B42" s="116"/>
    </row>
    <row r="43" spans="1:2" x14ac:dyDescent="0.35">
      <c r="A43" s="116" t="s">
        <v>227</v>
      </c>
      <c r="B43" s="116"/>
    </row>
    <row r="44" spans="1:2" x14ac:dyDescent="0.35">
      <c r="A44" s="116"/>
      <c r="B44" s="116"/>
    </row>
    <row r="45" spans="1:2" x14ac:dyDescent="0.35">
      <c r="A45" s="116" t="s">
        <v>228</v>
      </c>
      <c r="B45" s="116"/>
    </row>
    <row r="46" spans="1:2" x14ac:dyDescent="0.35">
      <c r="A46" s="116" t="s">
        <v>229</v>
      </c>
      <c r="B46" s="116"/>
    </row>
    <row r="47" spans="1:2" x14ac:dyDescent="0.35">
      <c r="A47" s="116" t="s">
        <v>230</v>
      </c>
      <c r="B47" s="116"/>
    </row>
    <row r="48" spans="1:2" ht="29" x14ac:dyDescent="0.35">
      <c r="A48" s="116" t="s">
        <v>231</v>
      </c>
      <c r="B48" s="116"/>
    </row>
    <row r="49" spans="1:2" x14ac:dyDescent="0.35">
      <c r="A49" s="116"/>
      <c r="B49" s="116"/>
    </row>
    <row r="50" spans="1:2" x14ac:dyDescent="0.35">
      <c r="A50" s="116" t="s">
        <v>149</v>
      </c>
      <c r="B50" s="116"/>
    </row>
    <row r="51" spans="1:2" x14ac:dyDescent="0.35">
      <c r="A51" s="116" t="s">
        <v>150</v>
      </c>
      <c r="B51" s="116"/>
    </row>
    <row r="52" spans="1:2" x14ac:dyDescent="0.35">
      <c r="A52" s="116" t="s">
        <v>151</v>
      </c>
      <c r="B52" s="116"/>
    </row>
    <row r="53" spans="1:2" x14ac:dyDescent="0.35">
      <c r="A53" s="116"/>
      <c r="B53" s="116"/>
    </row>
    <row r="54" spans="1:2" x14ac:dyDescent="0.35">
      <c r="A54" s="116" t="s">
        <v>234</v>
      </c>
      <c r="B54" s="116"/>
    </row>
    <row r="55" spans="1:2" x14ac:dyDescent="0.35">
      <c r="A55" s="116" t="s">
        <v>233</v>
      </c>
      <c r="B55" s="116"/>
    </row>
    <row r="56" spans="1:2" x14ac:dyDescent="0.35">
      <c r="A56" s="116"/>
      <c r="B56" s="116"/>
    </row>
    <row r="57" spans="1:2" x14ac:dyDescent="0.35">
      <c r="A57" s="116" t="s">
        <v>238</v>
      </c>
      <c r="B57" s="116"/>
    </row>
    <row r="58" spans="1:2" x14ac:dyDescent="0.35">
      <c r="A58" s="116" t="s">
        <v>239</v>
      </c>
      <c r="B58" s="116"/>
    </row>
    <row r="59" spans="1:2" x14ac:dyDescent="0.35">
      <c r="A59" s="116" t="s">
        <v>240</v>
      </c>
      <c r="B59" s="116"/>
    </row>
    <row r="60" spans="1:2" x14ac:dyDescent="0.35">
      <c r="A60" s="116" t="s">
        <v>241</v>
      </c>
      <c r="B60" s="116"/>
    </row>
    <row r="61" spans="1:2" x14ac:dyDescent="0.35">
      <c r="A61" s="116" t="s">
        <v>242</v>
      </c>
      <c r="B61" s="116"/>
    </row>
    <row r="62" spans="1:2" x14ac:dyDescent="0.35">
      <c r="A62" s="116" t="s">
        <v>243</v>
      </c>
      <c r="B62" s="116"/>
    </row>
    <row r="63" spans="1:2" x14ac:dyDescent="0.35">
      <c r="A63" s="116"/>
      <c r="B63" s="116"/>
    </row>
    <row r="64" spans="1:2" x14ac:dyDescent="0.35">
      <c r="A64" s="116" t="s">
        <v>244</v>
      </c>
      <c r="B64" s="116"/>
    </row>
    <row r="65" spans="1:2" x14ac:dyDescent="0.35">
      <c r="A65" s="116" t="s">
        <v>245</v>
      </c>
      <c r="B65" s="116"/>
    </row>
    <row r="66" spans="1:2" x14ac:dyDescent="0.35">
      <c r="A66" s="116" t="s">
        <v>246</v>
      </c>
      <c r="B66" s="116"/>
    </row>
    <row r="67" spans="1:2" x14ac:dyDescent="0.35">
      <c r="A67" s="116" t="s">
        <v>247</v>
      </c>
      <c r="B67" s="116"/>
    </row>
    <row r="68" spans="1:2" x14ac:dyDescent="0.35">
      <c r="A68" s="116"/>
      <c r="B68" s="116"/>
    </row>
    <row r="69" spans="1:2" x14ac:dyDescent="0.35">
      <c r="A69" s="116" t="s">
        <v>163</v>
      </c>
      <c r="B69" s="116"/>
    </row>
    <row r="70" spans="1:2" x14ac:dyDescent="0.35">
      <c r="A70" s="116" t="s">
        <v>164</v>
      </c>
      <c r="B70" s="116"/>
    </row>
    <row r="71" spans="1:2" x14ac:dyDescent="0.35">
      <c r="A71" s="116" t="s">
        <v>165</v>
      </c>
      <c r="B71" s="116"/>
    </row>
    <row r="72" spans="1:2" x14ac:dyDescent="0.35">
      <c r="A72" s="116"/>
      <c r="B72" s="116"/>
    </row>
    <row r="73" spans="1:2" x14ac:dyDescent="0.35">
      <c r="A73" s="116" t="s">
        <v>187</v>
      </c>
      <c r="B73" s="116"/>
    </row>
    <row r="74" spans="1:2" x14ac:dyDescent="0.35">
      <c r="A74" s="116" t="s">
        <v>190</v>
      </c>
      <c r="B74" s="116"/>
    </row>
    <row r="75" spans="1:2" x14ac:dyDescent="0.35">
      <c r="A75" s="116" t="s">
        <v>188</v>
      </c>
      <c r="B75" s="116"/>
    </row>
    <row r="76" spans="1:2" x14ac:dyDescent="0.35">
      <c r="A76" s="116" t="s">
        <v>189</v>
      </c>
      <c r="B76" s="116"/>
    </row>
    <row r="77" spans="1:2" x14ac:dyDescent="0.35">
      <c r="A77" s="116"/>
      <c r="B77" s="116"/>
    </row>
    <row r="78" spans="1:2" x14ac:dyDescent="0.35">
      <c r="A78" s="116" t="s">
        <v>191</v>
      </c>
      <c r="B78" s="116"/>
    </row>
    <row r="79" spans="1:2" x14ac:dyDescent="0.35">
      <c r="A79" s="116" t="s">
        <v>192</v>
      </c>
      <c r="B79" s="116"/>
    </row>
    <row r="80" spans="1:2" x14ac:dyDescent="0.35">
      <c r="A80" s="116" t="s">
        <v>131</v>
      </c>
      <c r="B80" s="116"/>
    </row>
    <row r="81" spans="1:2" x14ac:dyDescent="0.35">
      <c r="A81" s="116"/>
      <c r="B81" s="116"/>
    </row>
    <row r="82" spans="1:2" x14ac:dyDescent="0.35">
      <c r="A82" s="116" t="s">
        <v>195</v>
      </c>
      <c r="B82" s="116"/>
    </row>
    <row r="83" spans="1:2" x14ac:dyDescent="0.35">
      <c r="A83" s="116" t="s">
        <v>196</v>
      </c>
      <c r="B83" s="116"/>
    </row>
    <row r="84" spans="1:2" x14ac:dyDescent="0.35">
      <c r="A84" s="116" t="s">
        <v>131</v>
      </c>
      <c r="B84" s="116"/>
    </row>
    <row r="85" spans="1:2" x14ac:dyDescent="0.35">
      <c r="A85" s="116"/>
      <c r="B85" s="116"/>
    </row>
    <row r="86" spans="1:2" x14ac:dyDescent="0.35">
      <c r="A86" s="116" t="s">
        <v>201</v>
      </c>
      <c r="B86" s="116"/>
    </row>
    <row r="87" spans="1:2" x14ac:dyDescent="0.35">
      <c r="A87" s="116" t="s">
        <v>202</v>
      </c>
      <c r="B87" s="116"/>
    </row>
    <row r="88" spans="1:2" x14ac:dyDescent="0.35">
      <c r="A88" s="116"/>
      <c r="B88" s="116"/>
    </row>
    <row r="89" spans="1:2" x14ac:dyDescent="0.35">
      <c r="A89" s="116" t="s">
        <v>204</v>
      </c>
      <c r="B89" s="116"/>
    </row>
    <row r="90" spans="1:2" x14ac:dyDescent="0.35">
      <c r="A90" s="116" t="s">
        <v>205</v>
      </c>
      <c r="B90" s="116"/>
    </row>
    <row r="91" spans="1:2" x14ac:dyDescent="0.35">
      <c r="A91" s="116" t="s">
        <v>206</v>
      </c>
      <c r="B91" s="116"/>
    </row>
    <row r="92" spans="1:2" x14ac:dyDescent="0.35">
      <c r="A92" s="116"/>
      <c r="B92" s="116"/>
    </row>
    <row r="93" spans="1:2" x14ac:dyDescent="0.35">
      <c r="A93" s="118" t="s">
        <v>207</v>
      </c>
      <c r="B93" s="118"/>
    </row>
    <row r="94" spans="1:2" x14ac:dyDescent="0.35">
      <c r="A94" s="118" t="s">
        <v>208</v>
      </c>
      <c r="B94" s="118"/>
    </row>
    <row r="95" spans="1:2" x14ac:dyDescent="0.35">
      <c r="A95" s="118" t="s">
        <v>200</v>
      </c>
      <c r="B95" s="118"/>
    </row>
    <row r="96" spans="1:2" x14ac:dyDescent="0.35">
      <c r="A96" s="119"/>
      <c r="B96" s="119"/>
    </row>
    <row r="97" spans="1:2" x14ac:dyDescent="0.35">
      <c r="A97" s="120" t="s">
        <v>257</v>
      </c>
      <c r="B97" s="120"/>
    </row>
    <row r="98" spans="1:2" x14ac:dyDescent="0.35">
      <c r="A98" s="118" t="s">
        <v>258</v>
      </c>
      <c r="B98" s="118"/>
    </row>
    <row r="99" spans="1:2" x14ac:dyDescent="0.35">
      <c r="A99" s="118"/>
      <c r="B99" s="118"/>
    </row>
    <row r="100" spans="1:2" x14ac:dyDescent="0.35">
      <c r="A100" s="118" t="s">
        <v>250</v>
      </c>
      <c r="B100" s="118"/>
    </row>
    <row r="101" spans="1:2" x14ac:dyDescent="0.35">
      <c r="A101" s="116" t="s">
        <v>503</v>
      </c>
      <c r="B101" s="116"/>
    </row>
    <row r="102" spans="1:2" x14ac:dyDescent="0.35">
      <c r="A102" s="116"/>
      <c r="B102" s="116"/>
    </row>
    <row r="103" spans="1:2" x14ac:dyDescent="0.35">
      <c r="A103" s="116" t="s">
        <v>251</v>
      </c>
      <c r="B103" s="116"/>
    </row>
    <row r="104" spans="1:2" x14ac:dyDescent="0.35">
      <c r="A104" s="116" t="s">
        <v>252</v>
      </c>
      <c r="B104" s="116"/>
    </row>
    <row r="105" spans="1:2" x14ac:dyDescent="0.35">
      <c r="A105" s="116"/>
      <c r="B105" s="116"/>
    </row>
    <row r="106" spans="1:2" x14ac:dyDescent="0.35">
      <c r="A106" s="116" t="s">
        <v>259</v>
      </c>
      <c r="B106" s="116"/>
    </row>
    <row r="107" spans="1:2" x14ac:dyDescent="0.35">
      <c r="A107" s="116" t="s">
        <v>260</v>
      </c>
      <c r="B107" s="116"/>
    </row>
    <row r="108" spans="1:2" x14ac:dyDescent="0.35">
      <c r="A108" s="116" t="s">
        <v>261</v>
      </c>
      <c r="B108" s="116"/>
    </row>
    <row r="109" spans="1:2" x14ac:dyDescent="0.35">
      <c r="A109" s="116"/>
      <c r="B109" s="116"/>
    </row>
    <row r="110" spans="1:2" x14ac:dyDescent="0.35">
      <c r="A110" s="116" t="s">
        <v>263</v>
      </c>
      <c r="B110" s="116"/>
    </row>
    <row r="111" spans="1:2" x14ac:dyDescent="0.35">
      <c r="A111" s="116" t="s">
        <v>262</v>
      </c>
      <c r="B111" s="116"/>
    </row>
    <row r="112" spans="1:2" x14ac:dyDescent="0.35">
      <c r="A112" s="116"/>
      <c r="B112" s="116"/>
    </row>
    <row r="113" spans="1:2" x14ac:dyDescent="0.35">
      <c r="A113" s="116" t="s">
        <v>295</v>
      </c>
      <c r="B113" s="116"/>
    </row>
    <row r="114" spans="1:2" x14ac:dyDescent="0.35">
      <c r="A114" s="116" t="s">
        <v>296</v>
      </c>
      <c r="B114" s="116"/>
    </row>
    <row r="115" spans="1:2" x14ac:dyDescent="0.35">
      <c r="A115" s="116" t="s">
        <v>294</v>
      </c>
      <c r="B115" s="116"/>
    </row>
    <row r="116" spans="1:2" x14ac:dyDescent="0.35">
      <c r="A116" s="116"/>
      <c r="B116" s="116"/>
    </row>
    <row r="117" spans="1:2" x14ac:dyDescent="0.35">
      <c r="A117" s="116" t="s">
        <v>295</v>
      </c>
      <c r="B117" s="116"/>
    </row>
    <row r="118" spans="1:2" x14ac:dyDescent="0.35">
      <c r="A118" s="116" t="s">
        <v>298</v>
      </c>
      <c r="B118" s="116"/>
    </row>
    <row r="119" spans="1:2" x14ac:dyDescent="0.35">
      <c r="A119" s="116" t="s">
        <v>297</v>
      </c>
      <c r="B119" s="116"/>
    </row>
    <row r="120" spans="1:2" x14ac:dyDescent="0.35">
      <c r="A120" s="116" t="s">
        <v>131</v>
      </c>
      <c r="B120" s="116"/>
    </row>
    <row r="121" spans="1:2" x14ac:dyDescent="0.35">
      <c r="A121" s="116"/>
      <c r="B121" s="116"/>
    </row>
    <row r="122" spans="1:2" x14ac:dyDescent="0.35">
      <c r="A122" s="116" t="s">
        <v>300</v>
      </c>
      <c r="B122" s="116"/>
    </row>
    <row r="123" spans="1:2" x14ac:dyDescent="0.35">
      <c r="A123" s="116" t="s">
        <v>301</v>
      </c>
      <c r="B123" s="116"/>
    </row>
    <row r="124" spans="1:2" x14ac:dyDescent="0.35">
      <c r="A124" s="116" t="s">
        <v>303</v>
      </c>
      <c r="B124" s="116"/>
    </row>
    <row r="125" spans="1:2" x14ac:dyDescent="0.35">
      <c r="A125" s="118" t="s">
        <v>302</v>
      </c>
      <c r="B125" s="118"/>
    </row>
    <row r="126" spans="1:2" x14ac:dyDescent="0.35">
      <c r="A126" s="119"/>
      <c r="B126" s="119"/>
    </row>
    <row r="127" spans="1:2" ht="28" x14ac:dyDescent="0.35">
      <c r="A127" s="120" t="s">
        <v>307</v>
      </c>
      <c r="B127" s="120"/>
    </row>
    <row r="128" spans="1:2" ht="25" x14ac:dyDescent="0.35">
      <c r="A128" s="118" t="s">
        <v>308</v>
      </c>
      <c r="B128" s="118"/>
    </row>
    <row r="129" spans="1:2" x14ac:dyDescent="0.35">
      <c r="A129" s="121" t="s">
        <v>305</v>
      </c>
      <c r="B129" s="121"/>
    </row>
    <row r="130" spans="1:2" x14ac:dyDescent="0.35">
      <c r="A130" s="121" t="s">
        <v>306</v>
      </c>
      <c r="B130" s="121"/>
    </row>
    <row r="131" spans="1:2" x14ac:dyDescent="0.35">
      <c r="A131" s="121"/>
      <c r="B131" s="121"/>
    </row>
    <row r="132" spans="1:2" x14ac:dyDescent="0.35">
      <c r="A132" s="121" t="s">
        <v>311</v>
      </c>
      <c r="B132" s="121"/>
    </row>
    <row r="133" spans="1:2" x14ac:dyDescent="0.35">
      <c r="A133" s="118" t="s">
        <v>313</v>
      </c>
      <c r="B133" s="118"/>
    </row>
    <row r="134" spans="1:2" x14ac:dyDescent="0.35">
      <c r="A134" s="116" t="s">
        <v>312</v>
      </c>
      <c r="B134" s="116"/>
    </row>
    <row r="135" spans="1:2" x14ac:dyDescent="0.35">
      <c r="A135" s="116"/>
      <c r="B135" s="116"/>
    </row>
    <row r="136" spans="1:2" x14ac:dyDescent="0.35">
      <c r="A136" s="116" t="s">
        <v>318</v>
      </c>
      <c r="B136" s="116"/>
    </row>
    <row r="137" spans="1:2" x14ac:dyDescent="0.35">
      <c r="A137" s="116" t="s">
        <v>317</v>
      </c>
      <c r="B137" s="116"/>
    </row>
    <row r="138" spans="1:2" x14ac:dyDescent="0.35">
      <c r="A138" s="116"/>
      <c r="B138" s="116"/>
    </row>
    <row r="139" spans="1:2" x14ac:dyDescent="0.35">
      <c r="A139" s="116" t="s">
        <v>149</v>
      </c>
      <c r="B139" s="116"/>
    </row>
    <row r="140" spans="1:2" x14ac:dyDescent="0.35">
      <c r="A140" s="116" t="s">
        <v>319</v>
      </c>
      <c r="B140" s="116"/>
    </row>
    <row r="141" spans="1:2" x14ac:dyDescent="0.35">
      <c r="A141" s="116" t="s">
        <v>320</v>
      </c>
      <c r="B141" s="116"/>
    </row>
    <row r="142" spans="1:2" x14ac:dyDescent="0.35">
      <c r="A142" s="116" t="s">
        <v>131</v>
      </c>
      <c r="B142" s="116"/>
    </row>
    <row r="143" spans="1:2" x14ac:dyDescent="0.35">
      <c r="A143" s="116"/>
      <c r="B143" s="116"/>
    </row>
    <row r="144" spans="1:2" x14ac:dyDescent="0.35">
      <c r="A144" s="116" t="s">
        <v>324</v>
      </c>
      <c r="B144" s="116"/>
    </row>
    <row r="145" spans="1:2" x14ac:dyDescent="0.35">
      <c r="A145" s="116" t="s">
        <v>325</v>
      </c>
      <c r="B145" s="116"/>
    </row>
    <row r="146" spans="1:2" x14ac:dyDescent="0.35">
      <c r="A146" s="116" t="s">
        <v>326</v>
      </c>
      <c r="B146" s="116"/>
    </row>
    <row r="147" spans="1:2" x14ac:dyDescent="0.35">
      <c r="A147" s="116" t="s">
        <v>327</v>
      </c>
      <c r="B147" s="116"/>
    </row>
    <row r="148" spans="1:2" x14ac:dyDescent="0.35">
      <c r="A148" s="116"/>
      <c r="B148" s="116"/>
    </row>
    <row r="149" spans="1:2" x14ac:dyDescent="0.35">
      <c r="A149" s="116" t="s">
        <v>149</v>
      </c>
      <c r="B149" s="116"/>
    </row>
    <row r="150" spans="1:2" x14ac:dyDescent="0.35">
      <c r="A150" s="116" t="s">
        <v>319</v>
      </c>
      <c r="B150" s="116"/>
    </row>
    <row r="151" spans="1:2" x14ac:dyDescent="0.35">
      <c r="A151" s="116" t="s">
        <v>320</v>
      </c>
      <c r="B151" s="116"/>
    </row>
    <row r="152" spans="1:2" x14ac:dyDescent="0.35">
      <c r="A152" s="116" t="s">
        <v>328</v>
      </c>
      <c r="B152" s="116"/>
    </row>
    <row r="153" spans="1:2" x14ac:dyDescent="0.35">
      <c r="A153" s="116" t="s">
        <v>329</v>
      </c>
      <c r="B153" s="116"/>
    </row>
    <row r="154" spans="1:2" x14ac:dyDescent="0.35">
      <c r="A154" s="116"/>
      <c r="B154" s="116"/>
    </row>
    <row r="155" spans="1:2" x14ac:dyDescent="0.35">
      <c r="A155" s="118" t="s">
        <v>149</v>
      </c>
      <c r="B155" s="118"/>
    </row>
    <row r="156" spans="1:2" x14ac:dyDescent="0.35">
      <c r="A156" s="121" t="s">
        <v>330</v>
      </c>
      <c r="B156" s="121"/>
    </row>
    <row r="157" spans="1:2" x14ac:dyDescent="0.35">
      <c r="A157" s="121" t="s">
        <v>328</v>
      </c>
      <c r="B157" s="121"/>
    </row>
    <row r="158" spans="1:2" x14ac:dyDescent="0.35">
      <c r="A158" s="121"/>
      <c r="B158" s="121"/>
    </row>
    <row r="159" spans="1:2" x14ac:dyDescent="0.35">
      <c r="A159" s="118" t="s">
        <v>333</v>
      </c>
      <c r="B159" s="118"/>
    </row>
    <row r="160" spans="1:2" x14ac:dyDescent="0.35">
      <c r="A160" s="119" t="s">
        <v>334</v>
      </c>
      <c r="B160" s="119"/>
    </row>
    <row r="161" spans="1:2" x14ac:dyDescent="0.35">
      <c r="A161" s="119" t="s">
        <v>328</v>
      </c>
      <c r="B161" s="119"/>
    </row>
    <row r="162" spans="1:2" x14ac:dyDescent="0.35">
      <c r="A162" s="118"/>
      <c r="B162" s="118"/>
    </row>
    <row r="163" spans="1:2" x14ac:dyDescent="0.35">
      <c r="A163" s="118" t="s">
        <v>357</v>
      </c>
      <c r="B163" s="118"/>
    </row>
    <row r="164" spans="1:2" x14ac:dyDescent="0.35">
      <c r="A164" s="118" t="s">
        <v>356</v>
      </c>
      <c r="B164" s="118"/>
    </row>
    <row r="165" spans="1:2" x14ac:dyDescent="0.35">
      <c r="A165" s="118" t="s">
        <v>358</v>
      </c>
      <c r="B165" s="118"/>
    </row>
    <row r="166" spans="1:2" x14ac:dyDescent="0.35">
      <c r="A166" s="118" t="s">
        <v>359</v>
      </c>
      <c r="B166" s="118"/>
    </row>
    <row r="167" spans="1:2" x14ac:dyDescent="0.35">
      <c r="A167" s="118"/>
      <c r="B167" s="118"/>
    </row>
    <row r="168" spans="1:2" x14ac:dyDescent="0.35">
      <c r="A168" s="119" t="s">
        <v>362</v>
      </c>
      <c r="B168" s="119"/>
    </row>
    <row r="169" spans="1:2" x14ac:dyDescent="0.35">
      <c r="A169" s="119" t="s">
        <v>363</v>
      </c>
      <c r="B169" s="119"/>
    </row>
    <row r="170" spans="1:2" x14ac:dyDescent="0.35">
      <c r="A170" s="118" t="s">
        <v>364</v>
      </c>
      <c r="B170" s="118"/>
    </row>
    <row r="171" spans="1:2" x14ac:dyDescent="0.35">
      <c r="A171" s="121" t="s">
        <v>539</v>
      </c>
      <c r="B171" s="121"/>
    </row>
    <row r="172" spans="1:2" x14ac:dyDescent="0.35">
      <c r="A172" s="121"/>
      <c r="B172" s="121"/>
    </row>
    <row r="173" spans="1:2" x14ac:dyDescent="0.35">
      <c r="A173" s="121" t="s">
        <v>366</v>
      </c>
      <c r="B173" s="121"/>
    </row>
    <row r="174" spans="1:2" x14ac:dyDescent="0.35">
      <c r="A174" s="122" t="s">
        <v>367</v>
      </c>
      <c r="B174" s="122"/>
    </row>
    <row r="175" spans="1:2" x14ac:dyDescent="0.35">
      <c r="A175" s="118" t="s">
        <v>368</v>
      </c>
      <c r="B175" s="118"/>
    </row>
    <row r="176" spans="1:2" x14ac:dyDescent="0.35">
      <c r="A176" s="121"/>
      <c r="B176" s="121"/>
    </row>
    <row r="177" spans="1:2" x14ac:dyDescent="0.35">
      <c r="A177" s="121" t="s">
        <v>373</v>
      </c>
      <c r="B177" s="121"/>
    </row>
    <row r="178" spans="1:2" x14ac:dyDescent="0.35">
      <c r="A178" s="121" t="s">
        <v>374</v>
      </c>
      <c r="B178" s="121"/>
    </row>
    <row r="179" spans="1:2" x14ac:dyDescent="0.35">
      <c r="A179" s="118"/>
      <c r="B179" s="118"/>
    </row>
    <row r="180" spans="1:2" x14ac:dyDescent="0.35">
      <c r="A180" s="121" t="s">
        <v>379</v>
      </c>
      <c r="B180" s="121"/>
    </row>
    <row r="181" spans="1:2" x14ac:dyDescent="0.35">
      <c r="A181" s="121" t="s">
        <v>381</v>
      </c>
      <c r="B181" s="121"/>
    </row>
    <row r="182" spans="1:2" x14ac:dyDescent="0.35">
      <c r="A182" s="121"/>
      <c r="B182" s="121"/>
    </row>
    <row r="183" spans="1:2" x14ac:dyDescent="0.35">
      <c r="A183" s="121" t="s">
        <v>380</v>
      </c>
      <c r="B183" s="121"/>
    </row>
    <row r="184" spans="1:2" x14ac:dyDescent="0.35">
      <c r="A184" s="121" t="s">
        <v>381</v>
      </c>
      <c r="B184" s="121"/>
    </row>
    <row r="185" spans="1:2" x14ac:dyDescent="0.35">
      <c r="A185" s="121"/>
      <c r="B185" s="121"/>
    </row>
    <row r="186" spans="1:2" x14ac:dyDescent="0.35">
      <c r="A186" s="121" t="s">
        <v>395</v>
      </c>
      <c r="B186" s="121"/>
    </row>
    <row r="187" spans="1:2" x14ac:dyDescent="0.35">
      <c r="A187" s="121" t="s">
        <v>396</v>
      </c>
      <c r="B187" s="121"/>
    </row>
    <row r="188" spans="1:2" x14ac:dyDescent="0.35">
      <c r="A188" s="118" t="s">
        <v>328</v>
      </c>
      <c r="B188" s="118"/>
    </row>
    <row r="189" spans="1:2" x14ac:dyDescent="0.35">
      <c r="A189" s="118"/>
      <c r="B189" s="118"/>
    </row>
    <row r="190" spans="1:2" x14ac:dyDescent="0.35">
      <c r="A190" s="119" t="s">
        <v>265</v>
      </c>
      <c r="B190" s="119"/>
    </row>
    <row r="191" spans="1:2" x14ac:dyDescent="0.35">
      <c r="A191" s="119" t="s">
        <v>266</v>
      </c>
      <c r="B191" s="119"/>
    </row>
    <row r="192" spans="1:2" x14ac:dyDescent="0.35">
      <c r="A192" s="118" t="s">
        <v>267</v>
      </c>
      <c r="B192" s="118"/>
    </row>
    <row r="193" spans="1:2" x14ac:dyDescent="0.35">
      <c r="A193" s="121"/>
      <c r="B193" s="121"/>
    </row>
    <row r="194" spans="1:2" x14ac:dyDescent="0.35">
      <c r="A194" s="121" t="s">
        <v>167</v>
      </c>
      <c r="B194" s="121"/>
    </row>
    <row r="195" spans="1:2" x14ac:dyDescent="0.35">
      <c r="A195" s="121" t="s">
        <v>168</v>
      </c>
      <c r="B195" s="121"/>
    </row>
    <row r="196" spans="1:2" x14ac:dyDescent="0.35">
      <c r="A196" s="121" t="s">
        <v>169</v>
      </c>
      <c r="B196" s="121"/>
    </row>
    <row r="197" spans="1:2" x14ac:dyDescent="0.35">
      <c r="A197" s="118" t="s">
        <v>170</v>
      </c>
      <c r="B197" s="118"/>
    </row>
    <row r="198" spans="1:2" x14ac:dyDescent="0.35">
      <c r="A198" s="119"/>
      <c r="B198" s="119"/>
    </row>
    <row r="199" spans="1:2" x14ac:dyDescent="0.35">
      <c r="A199" s="119" t="s">
        <v>173</v>
      </c>
      <c r="B199" s="119"/>
    </row>
    <row r="200" spans="1:2" x14ac:dyDescent="0.35">
      <c r="A200" s="118" t="s">
        <v>174</v>
      </c>
      <c r="B200" s="118"/>
    </row>
    <row r="201" spans="1:2" x14ac:dyDescent="0.35">
      <c r="A201" s="121" t="s">
        <v>175</v>
      </c>
      <c r="B201" s="121"/>
    </row>
    <row r="202" spans="1:2" x14ac:dyDescent="0.35">
      <c r="A202" s="121" t="s">
        <v>170</v>
      </c>
      <c r="B202" s="121"/>
    </row>
    <row r="203" spans="1:2" x14ac:dyDescent="0.35">
      <c r="A203" s="121"/>
      <c r="B203" s="121"/>
    </row>
    <row r="204" spans="1:2" x14ac:dyDescent="0.35">
      <c r="A204" s="118" t="s">
        <v>526</v>
      </c>
      <c r="B204" s="118"/>
    </row>
    <row r="205" spans="1:2" x14ac:dyDescent="0.35">
      <c r="A205" s="118" t="s">
        <v>527</v>
      </c>
      <c r="B205" s="118"/>
    </row>
    <row r="206" spans="1:2" x14ac:dyDescent="0.35">
      <c r="A206" s="118" t="s">
        <v>528</v>
      </c>
      <c r="B206" s="118"/>
    </row>
    <row r="207" spans="1:2" x14ac:dyDescent="0.35">
      <c r="A207" s="119" t="s">
        <v>170</v>
      </c>
      <c r="B207" s="119"/>
    </row>
    <row r="208" spans="1:2" x14ac:dyDescent="0.35">
      <c r="A208" s="119"/>
      <c r="B208" s="119"/>
    </row>
    <row r="209" spans="1:2" x14ac:dyDescent="0.35">
      <c r="A209" s="116" t="s">
        <v>529</v>
      </c>
      <c r="B209" s="116"/>
    </row>
    <row r="210" spans="1:2" x14ac:dyDescent="0.35">
      <c r="A210" s="116" t="s">
        <v>530</v>
      </c>
      <c r="B210" s="116"/>
    </row>
    <row r="211" spans="1:2" x14ac:dyDescent="0.35">
      <c r="A211" s="116" t="s">
        <v>531</v>
      </c>
      <c r="B211" s="116"/>
    </row>
    <row r="212" spans="1:2" x14ac:dyDescent="0.35">
      <c r="A212" s="116" t="s">
        <v>170</v>
      </c>
      <c r="B212" s="116"/>
    </row>
    <row r="213" spans="1:2" x14ac:dyDescent="0.35">
      <c r="A213" s="116"/>
      <c r="B213" s="116"/>
    </row>
    <row r="214" spans="1:2" x14ac:dyDescent="0.35">
      <c r="A214" s="116" t="s">
        <v>176</v>
      </c>
      <c r="B214" s="116"/>
    </row>
    <row r="215" spans="1:2" x14ac:dyDescent="0.35">
      <c r="A215" s="116" t="s">
        <v>532</v>
      </c>
      <c r="B215" s="116"/>
    </row>
    <row r="216" spans="1:2" x14ac:dyDescent="0.35">
      <c r="A216" s="116" t="s">
        <v>533</v>
      </c>
      <c r="B216" s="116"/>
    </row>
    <row r="217" spans="1:2" x14ac:dyDescent="0.35">
      <c r="A217" s="116" t="s">
        <v>170</v>
      </c>
      <c r="B217" s="116"/>
    </row>
    <row r="218" spans="1:2" x14ac:dyDescent="0.35">
      <c r="A218" s="116"/>
      <c r="B218" s="116"/>
    </row>
    <row r="219" spans="1:2" x14ac:dyDescent="0.35">
      <c r="A219" s="116" t="s">
        <v>534</v>
      </c>
      <c r="B219" s="116"/>
    </row>
    <row r="220" spans="1:2" x14ac:dyDescent="0.35">
      <c r="A220" s="116" t="s">
        <v>177</v>
      </c>
      <c r="B220" s="116"/>
    </row>
    <row r="221" spans="1:2" x14ac:dyDescent="0.35">
      <c r="A221" s="116" t="s">
        <v>535</v>
      </c>
      <c r="B221" s="116"/>
    </row>
    <row r="222" spans="1:2" x14ac:dyDescent="0.35">
      <c r="A222" s="116" t="s">
        <v>536</v>
      </c>
      <c r="B222" s="116"/>
    </row>
    <row r="223" spans="1:2" x14ac:dyDescent="0.35">
      <c r="A223" s="116"/>
      <c r="B223" s="116"/>
    </row>
    <row r="224" spans="1:2" x14ac:dyDescent="0.35">
      <c r="A224" s="116" t="s">
        <v>1744</v>
      </c>
      <c r="B224" s="116"/>
    </row>
    <row r="225" spans="1:2" x14ac:dyDescent="0.35">
      <c r="A225" s="116" t="s">
        <v>1745</v>
      </c>
      <c r="B225" s="116"/>
    </row>
    <row r="226" spans="1:2" x14ac:dyDescent="0.35">
      <c r="A226" s="116" t="s">
        <v>1746</v>
      </c>
      <c r="B226" s="116"/>
    </row>
    <row r="227" spans="1:2" x14ac:dyDescent="0.35">
      <c r="A227" s="116"/>
      <c r="B227" s="116"/>
    </row>
    <row r="228" spans="1:2" x14ac:dyDescent="0.35">
      <c r="A228" s="116" t="s">
        <v>1748</v>
      </c>
      <c r="B228" s="116"/>
    </row>
    <row r="229" spans="1:2" x14ac:dyDescent="0.35">
      <c r="A229" s="116" t="s">
        <v>1750</v>
      </c>
      <c r="B229" s="116"/>
    </row>
    <row r="230" spans="1:2" x14ac:dyDescent="0.35">
      <c r="A230" s="116" t="s">
        <v>1749</v>
      </c>
      <c r="B230" s="116"/>
    </row>
    <row r="231" spans="1:2" x14ac:dyDescent="0.35">
      <c r="A231" s="116" t="s">
        <v>1751</v>
      </c>
      <c r="B231" s="116"/>
    </row>
    <row r="232" spans="1:2" x14ac:dyDescent="0.35">
      <c r="A232" s="116"/>
      <c r="B232" s="116"/>
    </row>
    <row r="233" spans="1:2" x14ac:dyDescent="0.35">
      <c r="A233" s="116" t="s">
        <v>1752</v>
      </c>
      <c r="B233" s="116"/>
    </row>
    <row r="234" spans="1:2" x14ac:dyDescent="0.35">
      <c r="A234" s="116" t="s">
        <v>1753</v>
      </c>
      <c r="B234" s="116"/>
    </row>
    <row r="235" spans="1:2" x14ac:dyDescent="0.35">
      <c r="A235" s="116" t="s">
        <v>1751</v>
      </c>
      <c r="B235" s="116"/>
    </row>
    <row r="236" spans="1:2" x14ac:dyDescent="0.35">
      <c r="A236" s="116"/>
      <c r="B236" s="116"/>
    </row>
    <row r="237" spans="1:2" x14ac:dyDescent="0.35">
      <c r="A237" s="116"/>
      <c r="B237" s="116"/>
    </row>
    <row r="238" spans="1:2" x14ac:dyDescent="0.35">
      <c r="A238" s="116"/>
      <c r="B238" s="116"/>
    </row>
    <row r="239" spans="1:2" x14ac:dyDescent="0.35">
      <c r="A239" s="116"/>
      <c r="B239" s="116"/>
    </row>
    <row r="240" spans="1:2" x14ac:dyDescent="0.35">
      <c r="A240" s="116"/>
      <c r="B240" s="116"/>
    </row>
    <row r="241" spans="1:2" x14ac:dyDescent="0.35">
      <c r="A241" s="116"/>
      <c r="B241" s="116"/>
    </row>
    <row r="242" spans="1:2" x14ac:dyDescent="0.35">
      <c r="A242" s="116"/>
      <c r="B242" s="116"/>
    </row>
    <row r="243" spans="1:2" x14ac:dyDescent="0.35">
      <c r="A243" s="116"/>
      <c r="B243" s="116"/>
    </row>
    <row r="244" spans="1:2" x14ac:dyDescent="0.35">
      <c r="A244" s="116"/>
      <c r="B244" s="116"/>
    </row>
    <row r="245" spans="1:2" x14ac:dyDescent="0.35">
      <c r="A245" s="116"/>
      <c r="B245" s="116"/>
    </row>
    <row r="246" spans="1:2" x14ac:dyDescent="0.35">
      <c r="A246" s="116"/>
      <c r="B246" s="116"/>
    </row>
    <row r="247" spans="1:2" x14ac:dyDescent="0.35">
      <c r="A247" s="116"/>
      <c r="B247" s="116"/>
    </row>
    <row r="248" spans="1:2" x14ac:dyDescent="0.35">
      <c r="A248" s="116"/>
      <c r="B248" s="116"/>
    </row>
    <row r="249" spans="1:2" x14ac:dyDescent="0.35">
      <c r="A249" s="116"/>
      <c r="B249" s="116"/>
    </row>
    <row r="250" spans="1:2" x14ac:dyDescent="0.35">
      <c r="A250" s="116"/>
      <c r="B250" s="116"/>
    </row>
    <row r="251" spans="1:2" x14ac:dyDescent="0.35">
      <c r="A251" s="116"/>
      <c r="B251" s="116"/>
    </row>
    <row r="252" spans="1:2" x14ac:dyDescent="0.35">
      <c r="A252" s="116"/>
      <c r="B252" s="116"/>
    </row>
    <row r="253" spans="1:2" x14ac:dyDescent="0.35">
      <c r="A253" s="116"/>
      <c r="B253" s="116"/>
    </row>
    <row r="254" spans="1:2" x14ac:dyDescent="0.35">
      <c r="A254" s="116"/>
      <c r="B254" s="116"/>
    </row>
    <row r="255" spans="1:2" x14ac:dyDescent="0.35">
      <c r="A255" s="116"/>
      <c r="B255" s="116"/>
    </row>
    <row r="256" spans="1:2" x14ac:dyDescent="0.35">
      <c r="A256" s="116"/>
      <c r="B256" s="116"/>
    </row>
    <row r="257" spans="1:2" x14ac:dyDescent="0.35">
      <c r="A257" s="116"/>
      <c r="B257" s="116"/>
    </row>
    <row r="258" spans="1:2" x14ac:dyDescent="0.35">
      <c r="A258" s="116"/>
      <c r="B258" s="116"/>
    </row>
    <row r="259" spans="1:2" x14ac:dyDescent="0.35">
      <c r="A259" s="116"/>
      <c r="B259" s="116"/>
    </row>
    <row r="260" spans="1:2" x14ac:dyDescent="0.35">
      <c r="A260" s="116"/>
      <c r="B260" s="116"/>
    </row>
    <row r="261" spans="1:2" x14ac:dyDescent="0.35">
      <c r="A261" s="116"/>
      <c r="B261" s="116"/>
    </row>
    <row r="262" spans="1:2" x14ac:dyDescent="0.35">
      <c r="A262" s="116"/>
      <c r="B262" s="116"/>
    </row>
    <row r="263" spans="1:2" x14ac:dyDescent="0.35">
      <c r="A263" s="116"/>
      <c r="B263" s="116"/>
    </row>
    <row r="264" spans="1:2" x14ac:dyDescent="0.35">
      <c r="A264" s="116"/>
      <c r="B264" s="116"/>
    </row>
    <row r="265" spans="1:2" x14ac:dyDescent="0.35">
      <c r="A265" s="116"/>
      <c r="B265" s="116"/>
    </row>
    <row r="266" spans="1:2" x14ac:dyDescent="0.35">
      <c r="A266" s="116"/>
      <c r="B266" s="116"/>
    </row>
    <row r="267" spans="1:2" x14ac:dyDescent="0.35">
      <c r="A267" s="116"/>
      <c r="B267" s="116"/>
    </row>
    <row r="268" spans="1:2" x14ac:dyDescent="0.35">
      <c r="A268" s="123"/>
      <c r="B268" s="123"/>
    </row>
    <row r="269" spans="1:2" x14ac:dyDescent="0.35">
      <c r="A269" s="123"/>
      <c r="B269" s="123"/>
    </row>
    <row r="270" spans="1:2" x14ac:dyDescent="0.35">
      <c r="A270" s="123"/>
      <c r="B270" s="123"/>
    </row>
    <row r="271" spans="1:2" x14ac:dyDescent="0.35">
      <c r="A271" s="123"/>
      <c r="B271" s="123"/>
    </row>
    <row r="272" spans="1:2" x14ac:dyDescent="0.35">
      <c r="A272" s="123"/>
      <c r="B272" s="123"/>
    </row>
    <row r="273" spans="1:2" x14ac:dyDescent="0.35">
      <c r="A273" s="123"/>
      <c r="B273" s="123"/>
    </row>
    <row r="274" spans="1:2" x14ac:dyDescent="0.35">
      <c r="A274" s="123"/>
      <c r="B274" s="123"/>
    </row>
    <row r="275" spans="1:2" x14ac:dyDescent="0.35">
      <c r="A275" s="123"/>
      <c r="B275" s="123"/>
    </row>
    <row r="276" spans="1:2" x14ac:dyDescent="0.35">
      <c r="A276" s="123"/>
      <c r="B276" s="123"/>
    </row>
    <row r="277" spans="1:2" x14ac:dyDescent="0.35">
      <c r="A277" s="123"/>
      <c r="B277" s="123"/>
    </row>
    <row r="278" spans="1:2" x14ac:dyDescent="0.35">
      <c r="A278" s="123"/>
      <c r="B278" s="123"/>
    </row>
    <row r="279" spans="1:2" x14ac:dyDescent="0.35">
      <c r="A279" s="123"/>
      <c r="B279" s="123"/>
    </row>
    <row r="280" spans="1:2" x14ac:dyDescent="0.35">
      <c r="A280" s="123"/>
      <c r="B280" s="123"/>
    </row>
    <row r="281" spans="1:2" x14ac:dyDescent="0.35">
      <c r="A281" s="123"/>
      <c r="B281" s="123"/>
    </row>
    <row r="282" spans="1:2" x14ac:dyDescent="0.35">
      <c r="A282" s="123"/>
      <c r="B282" s="123"/>
    </row>
    <row r="283" spans="1:2" x14ac:dyDescent="0.35">
      <c r="A283" s="123"/>
      <c r="B283" s="123"/>
    </row>
    <row r="284" spans="1:2" x14ac:dyDescent="0.35">
      <c r="A284" s="123"/>
      <c r="B284" s="123"/>
    </row>
    <row r="285" spans="1:2" x14ac:dyDescent="0.35">
      <c r="A285" s="124"/>
      <c r="B285" s="124"/>
    </row>
  </sheetData>
  <sheetProtection formatRows="0" selectLockedCells="1"/>
  <pageMargins left="0.75" right="0.75" top="1" bottom="1" header="0.5" footer="0.5"/>
  <pageSetup paperSize="9" orientation="portrait"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B286"/>
  <sheetViews>
    <sheetView workbookViewId="0"/>
  </sheetViews>
  <sheetFormatPr baseColWidth="10" defaultColWidth="10.81640625" defaultRowHeight="14.5" x14ac:dyDescent="0.35"/>
  <cols>
    <col min="1" max="2" width="63" style="4" customWidth="1"/>
    <col min="3" max="16384" width="10.81640625" style="4"/>
  </cols>
  <sheetData>
    <row r="1" spans="1:2" ht="26" x14ac:dyDescent="0.35">
      <c r="A1" s="111" t="str">
        <f>'Options (2)'!A1</f>
        <v>New Language</v>
      </c>
    </row>
    <row r="2" spans="1:2" x14ac:dyDescent="0.35">
      <c r="A2" s="4">
        <v>1</v>
      </c>
      <c r="B2" s="4">
        <v>2</v>
      </c>
    </row>
    <row r="3" spans="1:2" ht="21" x14ac:dyDescent="0.35">
      <c r="A3" s="125" t="str">
        <f>'Options (2)'!A3</f>
        <v>English</v>
      </c>
      <c r="B3" s="125" t="str">
        <f>VLOOKUP(B2,'Languages Available'!$A$3:$B$23,2)</f>
        <v>Dutch</v>
      </c>
    </row>
    <row r="4" spans="1:2" x14ac:dyDescent="0.35">
      <c r="A4" s="115" t="s">
        <v>445</v>
      </c>
      <c r="B4" s="115"/>
    </row>
    <row r="5" spans="1:2" x14ac:dyDescent="0.35">
      <c r="A5" s="116" t="s">
        <v>442</v>
      </c>
      <c r="B5" s="116"/>
    </row>
    <row r="6" spans="1:2" x14ac:dyDescent="0.35">
      <c r="A6" s="116" t="s">
        <v>440</v>
      </c>
      <c r="B6" s="116"/>
    </row>
    <row r="7" spans="1:2" x14ac:dyDescent="0.35">
      <c r="A7" s="116" t="s">
        <v>441</v>
      </c>
      <c r="B7" s="116"/>
    </row>
    <row r="8" spans="1:2" x14ac:dyDescent="0.35">
      <c r="A8" s="116" t="s">
        <v>444</v>
      </c>
      <c r="B8" s="116"/>
    </row>
    <row r="9" spans="1:2" x14ac:dyDescent="0.35">
      <c r="A9" s="116" t="s">
        <v>0</v>
      </c>
      <c r="B9" s="116"/>
    </row>
    <row r="10" spans="1:2" x14ac:dyDescent="0.35">
      <c r="A10" s="116" t="s">
        <v>446</v>
      </c>
      <c r="B10" s="116"/>
    </row>
    <row r="11" spans="1:2" x14ac:dyDescent="0.35">
      <c r="A11" s="116" t="s">
        <v>447</v>
      </c>
      <c r="B11" s="116"/>
    </row>
    <row r="12" spans="1:2" x14ac:dyDescent="0.35">
      <c r="A12" s="116" t="s">
        <v>448</v>
      </c>
      <c r="B12" s="116"/>
    </row>
    <row r="13" spans="1:2" x14ac:dyDescent="0.35">
      <c r="A13" s="116" t="s">
        <v>449</v>
      </c>
      <c r="B13" s="116"/>
    </row>
    <row r="14" spans="1:2" x14ac:dyDescent="0.35">
      <c r="A14" s="116" t="s">
        <v>450</v>
      </c>
      <c r="B14" s="116"/>
    </row>
    <row r="15" spans="1:2" x14ac:dyDescent="0.35">
      <c r="A15" s="116" t="s">
        <v>451</v>
      </c>
      <c r="B15" s="116"/>
    </row>
    <row r="16" spans="1:2" x14ac:dyDescent="0.35">
      <c r="A16" s="116" t="s">
        <v>452</v>
      </c>
      <c r="B16" s="116"/>
    </row>
    <row r="17" spans="1:2" x14ac:dyDescent="0.35">
      <c r="A17" s="116" t="s">
        <v>453</v>
      </c>
      <c r="B17" s="116"/>
    </row>
    <row r="18" spans="1:2" x14ac:dyDescent="0.35">
      <c r="A18" s="116" t="s">
        <v>454</v>
      </c>
      <c r="B18" s="116"/>
    </row>
    <row r="19" spans="1:2" x14ac:dyDescent="0.35">
      <c r="A19" s="116" t="s">
        <v>455</v>
      </c>
      <c r="B19" s="116"/>
    </row>
    <row r="20" spans="1:2" x14ac:dyDescent="0.35">
      <c r="A20" s="116" t="s">
        <v>469</v>
      </c>
      <c r="B20" s="116"/>
    </row>
    <row r="21" spans="1:2" x14ac:dyDescent="0.35">
      <c r="A21" s="116" t="s">
        <v>470</v>
      </c>
      <c r="B21" s="116"/>
    </row>
    <row r="22" spans="1:2" x14ac:dyDescent="0.35">
      <c r="A22" s="116" t="s">
        <v>1</v>
      </c>
      <c r="B22" s="116"/>
    </row>
    <row r="23" spans="1:2" x14ac:dyDescent="0.35">
      <c r="A23" s="116" t="s">
        <v>471</v>
      </c>
      <c r="B23" s="116"/>
    </row>
    <row r="24" spans="1:2" x14ac:dyDescent="0.35">
      <c r="A24" s="116" t="s">
        <v>472</v>
      </c>
      <c r="B24" s="116"/>
    </row>
    <row r="25" spans="1:2" x14ac:dyDescent="0.35">
      <c r="A25" s="116" t="s">
        <v>120</v>
      </c>
      <c r="B25" s="116"/>
    </row>
    <row r="26" spans="1:2" x14ac:dyDescent="0.35">
      <c r="A26" s="116" t="s">
        <v>121</v>
      </c>
      <c r="B26" s="116"/>
    </row>
    <row r="27" spans="1:2" x14ac:dyDescent="0.35">
      <c r="A27" s="116" t="s">
        <v>473</v>
      </c>
      <c r="B27" s="116"/>
    </row>
    <row r="28" spans="1:2" x14ac:dyDescent="0.35">
      <c r="A28" s="116" t="s">
        <v>116</v>
      </c>
      <c r="B28" s="116"/>
    </row>
    <row r="29" spans="1:2" x14ac:dyDescent="0.35">
      <c r="A29" s="116" t="s">
        <v>521</v>
      </c>
      <c r="B29" s="116"/>
    </row>
    <row r="30" spans="1:2" x14ac:dyDescent="0.35">
      <c r="A30" s="116" t="s">
        <v>127</v>
      </c>
      <c r="B30" s="116"/>
    </row>
    <row r="31" spans="1:2" x14ac:dyDescent="0.35">
      <c r="A31" s="116" t="s">
        <v>277</v>
      </c>
      <c r="B31" s="116"/>
    </row>
    <row r="32" spans="1:2" x14ac:dyDescent="0.35">
      <c r="A32" s="116" t="s">
        <v>125</v>
      </c>
      <c r="B32" s="116"/>
    </row>
    <row r="33" spans="1:2" x14ac:dyDescent="0.35">
      <c r="A33" s="116" t="s">
        <v>126</v>
      </c>
      <c r="B33" s="116"/>
    </row>
    <row r="34" spans="1:2" x14ac:dyDescent="0.35">
      <c r="A34" s="116" t="s">
        <v>3</v>
      </c>
      <c r="B34" s="116"/>
    </row>
    <row r="35" spans="1:2" x14ac:dyDescent="0.35">
      <c r="A35" s="116" t="s">
        <v>270</v>
      </c>
      <c r="B35" s="116"/>
    </row>
    <row r="36" spans="1:2" x14ac:dyDescent="0.35">
      <c r="A36" s="116" t="s">
        <v>481</v>
      </c>
      <c r="B36" s="116"/>
    </row>
    <row r="37" spans="1:2" x14ac:dyDescent="0.35">
      <c r="A37" s="116" t="s">
        <v>479</v>
      </c>
      <c r="B37" s="116"/>
    </row>
    <row r="38" spans="1:2" x14ac:dyDescent="0.35">
      <c r="A38" s="116" t="s">
        <v>123</v>
      </c>
      <c r="B38" s="116"/>
    </row>
    <row r="39" spans="1:2" x14ac:dyDescent="0.35">
      <c r="A39" s="116" t="s">
        <v>124</v>
      </c>
      <c r="B39" s="116"/>
    </row>
    <row r="40" spans="1:2" x14ac:dyDescent="0.35">
      <c r="A40" s="116" t="s">
        <v>430</v>
      </c>
      <c r="B40" s="116"/>
    </row>
    <row r="41" spans="1:2" x14ac:dyDescent="0.35">
      <c r="A41" s="116" t="s">
        <v>431</v>
      </c>
      <c r="B41" s="116"/>
    </row>
    <row r="42" spans="1:2" x14ac:dyDescent="0.35">
      <c r="A42" s="116" t="s">
        <v>432</v>
      </c>
      <c r="B42" s="116"/>
    </row>
    <row r="43" spans="1:2" x14ac:dyDescent="0.35">
      <c r="A43" s="116" t="s">
        <v>434</v>
      </c>
      <c r="B43" s="116"/>
    </row>
    <row r="44" spans="1:2" x14ac:dyDescent="0.35">
      <c r="A44" s="116" t="s">
        <v>476</v>
      </c>
      <c r="B44" s="116"/>
    </row>
    <row r="45" spans="1:2" x14ac:dyDescent="0.35">
      <c r="A45" s="116" t="s">
        <v>519</v>
      </c>
      <c r="B45" s="116"/>
    </row>
    <row r="46" spans="1:2" x14ac:dyDescent="0.35">
      <c r="A46" s="116" t="s">
        <v>477</v>
      </c>
      <c r="B46" s="116"/>
    </row>
    <row r="47" spans="1:2" x14ac:dyDescent="0.35">
      <c r="A47" s="116" t="s">
        <v>478</v>
      </c>
      <c r="B47" s="116"/>
    </row>
    <row r="48" spans="1:2" x14ac:dyDescent="0.35">
      <c r="A48" s="116" t="s">
        <v>433</v>
      </c>
      <c r="B48" s="116"/>
    </row>
    <row r="49" spans="1:2" x14ac:dyDescent="0.35">
      <c r="A49" s="116" t="s">
        <v>435</v>
      </c>
      <c r="B49" s="116"/>
    </row>
    <row r="50" spans="1:2" x14ac:dyDescent="0.35">
      <c r="A50" s="116" t="s">
        <v>522</v>
      </c>
      <c r="B50" s="116"/>
    </row>
    <row r="51" spans="1:2" x14ac:dyDescent="0.35">
      <c r="A51" s="116" t="s">
        <v>436</v>
      </c>
      <c r="B51" s="116"/>
    </row>
    <row r="52" spans="1:2" x14ac:dyDescent="0.35">
      <c r="A52" s="116" t="s">
        <v>523</v>
      </c>
      <c r="B52" s="116"/>
    </row>
    <row r="53" spans="1:2" x14ac:dyDescent="0.35">
      <c r="A53" s="116" t="s">
        <v>520</v>
      </c>
      <c r="B53" s="116"/>
    </row>
    <row r="54" spans="1:2" x14ac:dyDescent="0.35">
      <c r="A54" s="116" t="s">
        <v>524</v>
      </c>
      <c r="B54" s="116"/>
    </row>
    <row r="55" spans="1:2" x14ac:dyDescent="0.35">
      <c r="A55" s="116" t="s">
        <v>276</v>
      </c>
      <c r="B55" s="116"/>
    </row>
    <row r="56" spans="1:2" x14ac:dyDescent="0.35">
      <c r="A56" s="116" t="s">
        <v>92</v>
      </c>
      <c r="B56" s="116"/>
    </row>
    <row r="57" spans="1:2" x14ac:dyDescent="0.35">
      <c r="A57" s="116" t="s">
        <v>480</v>
      </c>
      <c r="B57" s="116"/>
    </row>
    <row r="58" spans="1:2" x14ac:dyDescent="0.35">
      <c r="A58" s="116" t="s">
        <v>475</v>
      </c>
      <c r="B58" s="116"/>
    </row>
    <row r="59" spans="1:2" x14ac:dyDescent="0.35">
      <c r="A59" s="116" t="s">
        <v>4</v>
      </c>
      <c r="B59" s="116"/>
    </row>
    <row r="60" spans="1:2" x14ac:dyDescent="0.35">
      <c r="A60" s="116" t="s">
        <v>1314</v>
      </c>
      <c r="B60" s="116"/>
    </row>
    <row r="61" spans="1:2" x14ac:dyDescent="0.35">
      <c r="A61" s="116" t="s">
        <v>1323</v>
      </c>
      <c r="B61" s="116"/>
    </row>
    <row r="62" spans="1:2" ht="29" x14ac:dyDescent="0.35">
      <c r="A62" s="116" t="s">
        <v>1321</v>
      </c>
      <c r="B62" s="116"/>
    </row>
    <row r="63" spans="1:2" x14ac:dyDescent="0.35">
      <c r="A63" s="116" t="s">
        <v>1319</v>
      </c>
      <c r="B63" s="116"/>
    </row>
    <row r="64" spans="1:2" x14ac:dyDescent="0.35">
      <c r="A64" s="116" t="s">
        <v>1320</v>
      </c>
      <c r="B64" s="116"/>
    </row>
    <row r="65" spans="1:2" x14ac:dyDescent="0.35">
      <c r="A65" s="116" t="s">
        <v>1322</v>
      </c>
      <c r="B65" s="116"/>
    </row>
    <row r="66" spans="1:2" x14ac:dyDescent="0.35">
      <c r="A66" s="116" t="s">
        <v>1324</v>
      </c>
      <c r="B66" s="116"/>
    </row>
    <row r="67" spans="1:2" x14ac:dyDescent="0.35">
      <c r="A67" s="116" t="s">
        <v>1325</v>
      </c>
      <c r="B67" s="116"/>
    </row>
    <row r="68" spans="1:2" ht="29" x14ac:dyDescent="0.35">
      <c r="A68" s="116" t="s">
        <v>1756</v>
      </c>
      <c r="B68" s="116"/>
    </row>
    <row r="69" spans="1:2" x14ac:dyDescent="0.35">
      <c r="A69" s="116" t="s">
        <v>1762</v>
      </c>
      <c r="B69" s="116"/>
    </row>
    <row r="70" spans="1:2" x14ac:dyDescent="0.35">
      <c r="A70" s="116" t="s">
        <v>1787</v>
      </c>
      <c r="B70" s="116"/>
    </row>
    <row r="71" spans="1:2" x14ac:dyDescent="0.35">
      <c r="A71" s="116" t="s">
        <v>1788</v>
      </c>
      <c r="B71" s="116"/>
    </row>
    <row r="72" spans="1:2" x14ac:dyDescent="0.35">
      <c r="A72" s="116"/>
      <c r="B72" s="116"/>
    </row>
    <row r="73" spans="1:2" x14ac:dyDescent="0.35">
      <c r="A73" s="116"/>
      <c r="B73" s="116"/>
    </row>
    <row r="74" spans="1:2" x14ac:dyDescent="0.35">
      <c r="A74" s="116"/>
      <c r="B74" s="116"/>
    </row>
    <row r="75" spans="1:2" x14ac:dyDescent="0.35">
      <c r="A75" s="116"/>
      <c r="B75" s="116"/>
    </row>
    <row r="76" spans="1:2" x14ac:dyDescent="0.35">
      <c r="A76" s="116"/>
      <c r="B76" s="116"/>
    </row>
    <row r="77" spans="1:2" x14ac:dyDescent="0.35">
      <c r="A77" s="116"/>
      <c r="B77" s="116"/>
    </row>
    <row r="78" spans="1:2" x14ac:dyDescent="0.35">
      <c r="A78" s="116"/>
      <c r="B78" s="116"/>
    </row>
    <row r="79" spans="1:2" x14ac:dyDescent="0.35">
      <c r="A79" s="116"/>
      <c r="B79" s="116"/>
    </row>
    <row r="80" spans="1:2" x14ac:dyDescent="0.35">
      <c r="A80" s="116"/>
      <c r="B80" s="116"/>
    </row>
    <row r="81" spans="1:2" x14ac:dyDescent="0.35">
      <c r="A81" s="116"/>
      <c r="B81" s="116"/>
    </row>
    <row r="82" spans="1:2" x14ac:dyDescent="0.35">
      <c r="A82" s="116"/>
      <c r="B82" s="116"/>
    </row>
    <row r="83" spans="1:2" x14ac:dyDescent="0.35">
      <c r="A83" s="116"/>
      <c r="B83" s="116"/>
    </row>
    <row r="84" spans="1:2" x14ac:dyDescent="0.35">
      <c r="A84" s="116"/>
      <c r="B84" s="116"/>
    </row>
    <row r="85" spans="1:2" x14ac:dyDescent="0.35">
      <c r="A85" s="116"/>
      <c r="B85" s="116"/>
    </row>
    <row r="86" spans="1:2" x14ac:dyDescent="0.35">
      <c r="A86" s="116"/>
      <c r="B86" s="116"/>
    </row>
    <row r="87" spans="1:2" x14ac:dyDescent="0.35">
      <c r="A87" s="116"/>
      <c r="B87" s="116"/>
    </row>
    <row r="88" spans="1:2" x14ac:dyDescent="0.35">
      <c r="A88" s="116"/>
      <c r="B88" s="116"/>
    </row>
    <row r="89" spans="1:2" x14ac:dyDescent="0.35">
      <c r="A89" s="116"/>
      <c r="B89" s="116"/>
    </row>
    <row r="90" spans="1:2" x14ac:dyDescent="0.35">
      <c r="A90" s="116"/>
      <c r="B90" s="116"/>
    </row>
    <row r="91" spans="1:2" x14ac:dyDescent="0.35">
      <c r="A91" s="116"/>
      <c r="B91" s="116"/>
    </row>
    <row r="92" spans="1:2" x14ac:dyDescent="0.35">
      <c r="A92" s="116"/>
      <c r="B92" s="116"/>
    </row>
    <row r="93" spans="1:2" x14ac:dyDescent="0.35">
      <c r="A93" s="118"/>
      <c r="B93" s="118"/>
    </row>
    <row r="94" spans="1:2" x14ac:dyDescent="0.35">
      <c r="A94" s="118"/>
      <c r="B94" s="118"/>
    </row>
    <row r="95" spans="1:2" x14ac:dyDescent="0.35">
      <c r="A95" s="118"/>
      <c r="B95" s="118"/>
    </row>
    <row r="96" spans="1:2" x14ac:dyDescent="0.35">
      <c r="A96" s="119"/>
      <c r="B96" s="119"/>
    </row>
    <row r="97" spans="1:2" x14ac:dyDescent="0.35">
      <c r="A97" s="120"/>
      <c r="B97" s="120"/>
    </row>
    <row r="98" spans="1:2" x14ac:dyDescent="0.35">
      <c r="A98" s="118"/>
      <c r="B98" s="118"/>
    </row>
    <row r="99" spans="1:2" x14ac:dyDescent="0.35">
      <c r="A99" s="118"/>
      <c r="B99" s="118"/>
    </row>
    <row r="100" spans="1:2" x14ac:dyDescent="0.35">
      <c r="A100" s="118"/>
      <c r="B100" s="118"/>
    </row>
    <row r="101" spans="1:2" x14ac:dyDescent="0.35">
      <c r="A101" s="116"/>
      <c r="B101" s="116"/>
    </row>
    <row r="102" spans="1:2" x14ac:dyDescent="0.35">
      <c r="A102" s="116"/>
      <c r="B102" s="116"/>
    </row>
    <row r="103" spans="1:2" x14ac:dyDescent="0.35">
      <c r="A103" s="116"/>
      <c r="B103" s="116"/>
    </row>
    <row r="104" spans="1:2" x14ac:dyDescent="0.35">
      <c r="A104" s="116"/>
      <c r="B104" s="116"/>
    </row>
    <row r="105" spans="1:2" x14ac:dyDescent="0.35">
      <c r="A105" s="116"/>
      <c r="B105" s="116"/>
    </row>
    <row r="106" spans="1:2" x14ac:dyDescent="0.35">
      <c r="A106" s="116"/>
      <c r="B106" s="116"/>
    </row>
    <row r="107" spans="1:2" x14ac:dyDescent="0.35">
      <c r="A107" s="116"/>
      <c r="B107" s="116"/>
    </row>
    <row r="108" spans="1:2" x14ac:dyDescent="0.35">
      <c r="A108" s="116"/>
      <c r="B108" s="116"/>
    </row>
    <row r="109" spans="1:2" x14ac:dyDescent="0.35">
      <c r="A109" s="116"/>
      <c r="B109" s="116"/>
    </row>
    <row r="110" spans="1:2" x14ac:dyDescent="0.35">
      <c r="A110" s="116"/>
      <c r="B110" s="116"/>
    </row>
    <row r="111" spans="1:2" x14ac:dyDescent="0.35">
      <c r="A111" s="116"/>
      <c r="B111" s="116"/>
    </row>
    <row r="112" spans="1:2" x14ac:dyDescent="0.35">
      <c r="A112" s="116"/>
      <c r="B112" s="116"/>
    </row>
    <row r="113" spans="1:2" x14ac:dyDescent="0.35">
      <c r="A113" s="116"/>
      <c r="B113" s="116"/>
    </row>
    <row r="114" spans="1:2" x14ac:dyDescent="0.35">
      <c r="A114" s="116"/>
      <c r="B114" s="116"/>
    </row>
    <row r="115" spans="1:2" x14ac:dyDescent="0.35">
      <c r="A115" s="116"/>
      <c r="B115" s="116"/>
    </row>
    <row r="116" spans="1:2" x14ac:dyDescent="0.35">
      <c r="A116" s="116"/>
      <c r="B116" s="116"/>
    </row>
    <row r="117" spans="1:2" x14ac:dyDescent="0.35">
      <c r="A117" s="116"/>
      <c r="B117" s="116"/>
    </row>
    <row r="118" spans="1:2" x14ac:dyDescent="0.35">
      <c r="A118" s="116"/>
      <c r="B118" s="116"/>
    </row>
    <row r="119" spans="1:2" x14ac:dyDescent="0.35">
      <c r="A119" s="116"/>
      <c r="B119" s="116"/>
    </row>
    <row r="120" spans="1:2" x14ac:dyDescent="0.35">
      <c r="A120" s="116"/>
      <c r="B120" s="116"/>
    </row>
    <row r="121" spans="1:2" x14ac:dyDescent="0.35">
      <c r="A121" s="116"/>
      <c r="B121" s="116"/>
    </row>
    <row r="122" spans="1:2" x14ac:dyDescent="0.35">
      <c r="A122" s="116"/>
      <c r="B122" s="116"/>
    </row>
    <row r="123" spans="1:2" x14ac:dyDescent="0.35">
      <c r="A123" s="116"/>
      <c r="B123" s="116"/>
    </row>
    <row r="124" spans="1:2" x14ac:dyDescent="0.35">
      <c r="A124" s="116"/>
      <c r="B124" s="116"/>
    </row>
    <row r="125" spans="1:2" x14ac:dyDescent="0.35">
      <c r="A125" s="118"/>
      <c r="B125" s="118"/>
    </row>
    <row r="126" spans="1:2" x14ac:dyDescent="0.35">
      <c r="A126" s="119"/>
      <c r="B126" s="119"/>
    </row>
    <row r="127" spans="1:2" x14ac:dyDescent="0.35">
      <c r="A127" s="120"/>
      <c r="B127" s="120"/>
    </row>
    <row r="128" spans="1:2" x14ac:dyDescent="0.35">
      <c r="A128" s="118"/>
      <c r="B128" s="118"/>
    </row>
    <row r="129" spans="1:2" x14ac:dyDescent="0.35">
      <c r="A129" s="121"/>
      <c r="B129" s="121"/>
    </row>
    <row r="130" spans="1:2" x14ac:dyDescent="0.35">
      <c r="A130" s="121"/>
      <c r="B130" s="121"/>
    </row>
    <row r="131" spans="1:2" x14ac:dyDescent="0.35">
      <c r="A131" s="121"/>
      <c r="B131" s="121"/>
    </row>
    <row r="132" spans="1:2" x14ac:dyDescent="0.35">
      <c r="A132" s="121"/>
      <c r="B132" s="121"/>
    </row>
    <row r="133" spans="1:2" x14ac:dyDescent="0.35">
      <c r="A133" s="118"/>
      <c r="B133" s="118"/>
    </row>
    <row r="134" spans="1:2" x14ac:dyDescent="0.35">
      <c r="A134" s="116"/>
      <c r="B134" s="116"/>
    </row>
    <row r="135" spans="1:2" x14ac:dyDescent="0.35">
      <c r="A135" s="116"/>
      <c r="B135" s="116"/>
    </row>
    <row r="136" spans="1:2" x14ac:dyDescent="0.35">
      <c r="A136" s="116"/>
      <c r="B136" s="116"/>
    </row>
    <row r="137" spans="1:2" x14ac:dyDescent="0.35">
      <c r="A137" s="116"/>
      <c r="B137" s="116"/>
    </row>
    <row r="138" spans="1:2" x14ac:dyDescent="0.35">
      <c r="A138" s="116"/>
      <c r="B138" s="116"/>
    </row>
    <row r="139" spans="1:2" x14ac:dyDescent="0.35">
      <c r="A139" s="116"/>
      <c r="B139" s="116"/>
    </row>
    <row r="140" spans="1:2" x14ac:dyDescent="0.35">
      <c r="A140" s="116"/>
      <c r="B140" s="116"/>
    </row>
    <row r="141" spans="1:2" x14ac:dyDescent="0.35">
      <c r="A141" s="116"/>
      <c r="B141" s="116"/>
    </row>
    <row r="142" spans="1:2" x14ac:dyDescent="0.35">
      <c r="A142" s="116"/>
      <c r="B142" s="116"/>
    </row>
    <row r="143" spans="1:2" x14ac:dyDescent="0.35">
      <c r="A143" s="116"/>
      <c r="B143" s="116"/>
    </row>
    <row r="144" spans="1:2" x14ac:dyDescent="0.35">
      <c r="A144" s="116"/>
      <c r="B144" s="116"/>
    </row>
    <row r="145" spans="1:2" x14ac:dyDescent="0.35">
      <c r="A145" s="116"/>
      <c r="B145" s="116"/>
    </row>
    <row r="146" spans="1:2" x14ac:dyDescent="0.35">
      <c r="A146" s="116"/>
      <c r="B146" s="116"/>
    </row>
    <row r="147" spans="1:2" x14ac:dyDescent="0.35">
      <c r="A147" s="116"/>
      <c r="B147" s="116"/>
    </row>
    <row r="148" spans="1:2" x14ac:dyDescent="0.35">
      <c r="A148" s="116"/>
      <c r="B148" s="116"/>
    </row>
    <row r="149" spans="1:2" x14ac:dyDescent="0.35">
      <c r="A149" s="116"/>
      <c r="B149" s="116"/>
    </row>
    <row r="150" spans="1:2" x14ac:dyDescent="0.35">
      <c r="A150" s="116"/>
      <c r="B150" s="116"/>
    </row>
    <row r="151" spans="1:2" x14ac:dyDescent="0.35">
      <c r="A151" s="116"/>
      <c r="B151" s="116"/>
    </row>
    <row r="152" spans="1:2" x14ac:dyDescent="0.35">
      <c r="A152" s="116"/>
      <c r="B152" s="116"/>
    </row>
    <row r="153" spans="1:2" x14ac:dyDescent="0.35">
      <c r="A153" s="116"/>
      <c r="B153" s="116"/>
    </row>
    <row r="154" spans="1:2" x14ac:dyDescent="0.35">
      <c r="A154" s="116"/>
      <c r="B154" s="116"/>
    </row>
    <row r="155" spans="1:2" x14ac:dyDescent="0.35">
      <c r="A155" s="116"/>
      <c r="B155" s="116"/>
    </row>
    <row r="156" spans="1:2" x14ac:dyDescent="0.35">
      <c r="A156" s="118"/>
      <c r="B156" s="118"/>
    </row>
    <row r="157" spans="1:2" x14ac:dyDescent="0.35">
      <c r="A157" s="121"/>
      <c r="B157" s="121"/>
    </row>
    <row r="158" spans="1:2" x14ac:dyDescent="0.35">
      <c r="A158" s="121"/>
      <c r="B158" s="121"/>
    </row>
    <row r="159" spans="1:2" x14ac:dyDescent="0.35">
      <c r="A159" s="121"/>
      <c r="B159" s="121"/>
    </row>
    <row r="160" spans="1:2" x14ac:dyDescent="0.35">
      <c r="A160" s="118"/>
      <c r="B160" s="118"/>
    </row>
    <row r="161" spans="1:2" x14ac:dyDescent="0.35">
      <c r="A161" s="119"/>
      <c r="B161" s="119"/>
    </row>
    <row r="162" spans="1:2" x14ac:dyDescent="0.35">
      <c r="A162" s="119"/>
      <c r="B162" s="119"/>
    </row>
    <row r="163" spans="1:2" x14ac:dyDescent="0.35">
      <c r="A163" s="118"/>
      <c r="B163" s="118"/>
    </row>
    <row r="164" spans="1:2" x14ac:dyDescent="0.35">
      <c r="A164" s="118"/>
      <c r="B164" s="118"/>
    </row>
    <row r="165" spans="1:2" x14ac:dyDescent="0.35">
      <c r="A165" s="118"/>
      <c r="B165" s="118"/>
    </row>
    <row r="166" spans="1:2" x14ac:dyDescent="0.35">
      <c r="A166" s="118"/>
      <c r="B166" s="118"/>
    </row>
    <row r="167" spans="1:2" x14ac:dyDescent="0.35">
      <c r="A167" s="118"/>
      <c r="B167" s="118"/>
    </row>
    <row r="168" spans="1:2" x14ac:dyDescent="0.35">
      <c r="A168" s="118"/>
      <c r="B168" s="118"/>
    </row>
    <row r="169" spans="1:2" x14ac:dyDescent="0.35">
      <c r="A169" s="119"/>
      <c r="B169" s="119"/>
    </row>
    <row r="170" spans="1:2" x14ac:dyDescent="0.35">
      <c r="A170" s="119"/>
      <c r="B170" s="119"/>
    </row>
    <row r="171" spans="1:2" x14ac:dyDescent="0.35">
      <c r="A171" s="118"/>
      <c r="B171" s="118"/>
    </row>
    <row r="172" spans="1:2" x14ac:dyDescent="0.35">
      <c r="A172" s="121"/>
      <c r="B172" s="121"/>
    </row>
    <row r="173" spans="1:2" x14ac:dyDescent="0.35">
      <c r="A173" s="121"/>
      <c r="B173" s="121"/>
    </row>
    <row r="174" spans="1:2" x14ac:dyDescent="0.35">
      <c r="A174" s="121"/>
      <c r="B174" s="121"/>
    </row>
    <row r="175" spans="1:2" x14ac:dyDescent="0.35">
      <c r="A175" s="122"/>
      <c r="B175" s="122"/>
    </row>
    <row r="176" spans="1:2" x14ac:dyDescent="0.35">
      <c r="A176" s="118"/>
      <c r="B176" s="118"/>
    </row>
    <row r="177" spans="1:2" x14ac:dyDescent="0.35">
      <c r="A177" s="121"/>
      <c r="B177" s="121"/>
    </row>
    <row r="178" spans="1:2" x14ac:dyDescent="0.35">
      <c r="A178" s="121"/>
      <c r="B178" s="121"/>
    </row>
    <row r="179" spans="1:2" x14ac:dyDescent="0.35">
      <c r="A179" s="121"/>
      <c r="B179" s="121"/>
    </row>
    <row r="180" spans="1:2" x14ac:dyDescent="0.35">
      <c r="A180" s="118"/>
      <c r="B180" s="118"/>
    </row>
    <row r="181" spans="1:2" x14ac:dyDescent="0.35">
      <c r="A181" s="121"/>
      <c r="B181" s="121"/>
    </row>
    <row r="182" spans="1:2" x14ac:dyDescent="0.35">
      <c r="A182" s="121"/>
      <c r="B182" s="121"/>
    </row>
    <row r="183" spans="1:2" x14ac:dyDescent="0.35">
      <c r="A183" s="121"/>
      <c r="B183" s="121"/>
    </row>
    <row r="184" spans="1:2" x14ac:dyDescent="0.35">
      <c r="A184" s="121"/>
      <c r="B184" s="121"/>
    </row>
    <row r="185" spans="1:2" x14ac:dyDescent="0.35">
      <c r="A185" s="121"/>
      <c r="B185" s="121"/>
    </row>
    <row r="186" spans="1:2" x14ac:dyDescent="0.35">
      <c r="A186" s="121"/>
      <c r="B186" s="121"/>
    </row>
    <row r="187" spans="1:2" x14ac:dyDescent="0.35">
      <c r="A187" s="121"/>
      <c r="B187" s="121"/>
    </row>
    <row r="188" spans="1:2" x14ac:dyDescent="0.35">
      <c r="A188" s="121"/>
      <c r="B188" s="121"/>
    </row>
    <row r="189" spans="1:2" x14ac:dyDescent="0.35">
      <c r="A189" s="118"/>
      <c r="B189" s="118"/>
    </row>
    <row r="190" spans="1:2" x14ac:dyDescent="0.35">
      <c r="A190" s="118"/>
      <c r="B190" s="118"/>
    </row>
    <row r="191" spans="1:2" x14ac:dyDescent="0.35">
      <c r="A191" s="119"/>
      <c r="B191" s="119"/>
    </row>
    <row r="192" spans="1:2" x14ac:dyDescent="0.35">
      <c r="A192" s="119"/>
      <c r="B192" s="119"/>
    </row>
    <row r="193" spans="1:2" x14ac:dyDescent="0.35">
      <c r="A193" s="118"/>
      <c r="B193" s="118"/>
    </row>
    <row r="194" spans="1:2" x14ac:dyDescent="0.35">
      <c r="A194" s="121"/>
      <c r="B194" s="121"/>
    </row>
    <row r="195" spans="1:2" x14ac:dyDescent="0.35">
      <c r="A195" s="121"/>
      <c r="B195" s="121"/>
    </row>
    <row r="196" spans="1:2" x14ac:dyDescent="0.35">
      <c r="A196" s="121"/>
      <c r="B196" s="121"/>
    </row>
    <row r="197" spans="1:2" x14ac:dyDescent="0.35">
      <c r="A197" s="121"/>
      <c r="B197" s="121"/>
    </row>
    <row r="198" spans="1:2" x14ac:dyDescent="0.35">
      <c r="A198" s="118"/>
      <c r="B198" s="118"/>
    </row>
    <row r="199" spans="1:2" x14ac:dyDescent="0.35">
      <c r="A199" s="119"/>
      <c r="B199" s="119"/>
    </row>
    <row r="200" spans="1:2" x14ac:dyDescent="0.35">
      <c r="A200" s="119"/>
      <c r="B200" s="119"/>
    </row>
    <row r="201" spans="1:2" x14ac:dyDescent="0.35">
      <c r="A201" s="118"/>
      <c r="B201" s="118"/>
    </row>
    <row r="202" spans="1:2" x14ac:dyDescent="0.35">
      <c r="A202" s="121"/>
      <c r="B202" s="121"/>
    </row>
    <row r="203" spans="1:2" x14ac:dyDescent="0.35">
      <c r="A203" s="121"/>
      <c r="B203" s="121"/>
    </row>
    <row r="204" spans="1:2" x14ac:dyDescent="0.35">
      <c r="A204" s="121"/>
      <c r="B204" s="121"/>
    </row>
    <row r="205" spans="1:2" x14ac:dyDescent="0.35">
      <c r="A205" s="118"/>
      <c r="B205" s="118"/>
    </row>
    <row r="206" spans="1:2" x14ac:dyDescent="0.35">
      <c r="A206" s="118"/>
      <c r="B206" s="118"/>
    </row>
    <row r="207" spans="1:2" x14ac:dyDescent="0.35">
      <c r="A207" s="118"/>
      <c r="B207" s="118"/>
    </row>
    <row r="208" spans="1:2" x14ac:dyDescent="0.35">
      <c r="A208" s="119"/>
      <c r="B208" s="119"/>
    </row>
    <row r="209" spans="1:2" x14ac:dyDescent="0.35">
      <c r="A209" s="119"/>
      <c r="B209" s="119"/>
    </row>
    <row r="210" spans="1:2" x14ac:dyDescent="0.35">
      <c r="A210" s="116"/>
      <c r="B210" s="116"/>
    </row>
    <row r="211" spans="1:2" x14ac:dyDescent="0.35">
      <c r="A211" s="116"/>
      <c r="B211" s="116"/>
    </row>
    <row r="212" spans="1:2" x14ac:dyDescent="0.35">
      <c r="A212" s="116"/>
      <c r="B212" s="116"/>
    </row>
    <row r="213" spans="1:2" x14ac:dyDescent="0.35">
      <c r="A213" s="116"/>
      <c r="B213" s="116"/>
    </row>
    <row r="214" spans="1:2" x14ac:dyDescent="0.35">
      <c r="A214" s="116"/>
      <c r="B214" s="116"/>
    </row>
    <row r="215" spans="1:2" x14ac:dyDescent="0.35">
      <c r="A215" s="116"/>
      <c r="B215" s="116"/>
    </row>
    <row r="216" spans="1:2" x14ac:dyDescent="0.35">
      <c r="A216" s="116"/>
      <c r="B216" s="116"/>
    </row>
    <row r="217" spans="1:2" x14ac:dyDescent="0.35">
      <c r="A217" s="116"/>
      <c r="B217" s="116"/>
    </row>
    <row r="218" spans="1:2" x14ac:dyDescent="0.35">
      <c r="A218" s="116"/>
      <c r="B218" s="116"/>
    </row>
    <row r="219" spans="1:2" x14ac:dyDescent="0.35">
      <c r="A219" s="116"/>
      <c r="B219" s="116"/>
    </row>
    <row r="220" spans="1:2" x14ac:dyDescent="0.35">
      <c r="A220" s="116"/>
      <c r="B220" s="116"/>
    </row>
    <row r="221" spans="1:2" x14ac:dyDescent="0.35">
      <c r="A221" s="116"/>
      <c r="B221" s="116"/>
    </row>
    <row r="222" spans="1:2" x14ac:dyDescent="0.35">
      <c r="A222" s="116"/>
      <c r="B222" s="116"/>
    </row>
    <row r="223" spans="1:2" x14ac:dyDescent="0.35">
      <c r="A223" s="116"/>
      <c r="B223" s="116"/>
    </row>
    <row r="224" spans="1:2" x14ac:dyDescent="0.35">
      <c r="A224" s="116"/>
      <c r="B224" s="116"/>
    </row>
    <row r="225" spans="1:2" x14ac:dyDescent="0.35">
      <c r="A225" s="116"/>
      <c r="B225" s="116"/>
    </row>
    <row r="226" spans="1:2" x14ac:dyDescent="0.35">
      <c r="A226" s="116"/>
      <c r="B226" s="116"/>
    </row>
    <row r="227" spans="1:2" x14ac:dyDescent="0.35">
      <c r="A227" s="116"/>
      <c r="B227" s="116"/>
    </row>
    <row r="228" spans="1:2" x14ac:dyDescent="0.35">
      <c r="A228" s="116"/>
      <c r="B228" s="116"/>
    </row>
    <row r="229" spans="1:2" x14ac:dyDescent="0.35">
      <c r="A229" s="116"/>
      <c r="B229" s="116"/>
    </row>
    <row r="230" spans="1:2" x14ac:dyDescent="0.35">
      <c r="A230" s="116"/>
      <c r="B230" s="116"/>
    </row>
    <row r="231" spans="1:2" x14ac:dyDescent="0.35">
      <c r="A231" s="116"/>
      <c r="B231" s="116"/>
    </row>
    <row r="232" spans="1:2" x14ac:dyDescent="0.35">
      <c r="A232" s="116"/>
      <c r="B232" s="116"/>
    </row>
    <row r="233" spans="1:2" x14ac:dyDescent="0.35">
      <c r="A233" s="116"/>
      <c r="B233" s="116"/>
    </row>
    <row r="234" spans="1:2" x14ac:dyDescent="0.35">
      <c r="A234" s="116"/>
      <c r="B234" s="116"/>
    </row>
    <row r="235" spans="1:2" x14ac:dyDescent="0.35">
      <c r="A235" s="116"/>
      <c r="B235" s="116"/>
    </row>
    <row r="236" spans="1:2" x14ac:dyDescent="0.35">
      <c r="A236" s="116"/>
      <c r="B236" s="116"/>
    </row>
    <row r="237" spans="1:2" x14ac:dyDescent="0.35">
      <c r="A237" s="116"/>
      <c r="B237" s="116"/>
    </row>
    <row r="238" spans="1:2" x14ac:dyDescent="0.35">
      <c r="A238" s="116"/>
      <c r="B238" s="116"/>
    </row>
    <row r="239" spans="1:2" x14ac:dyDescent="0.35">
      <c r="A239" s="116"/>
      <c r="B239" s="116"/>
    </row>
    <row r="240" spans="1:2" x14ac:dyDescent="0.35">
      <c r="A240" s="116"/>
      <c r="B240" s="116"/>
    </row>
    <row r="241" spans="1:2" x14ac:dyDescent="0.35">
      <c r="A241" s="116"/>
      <c r="B241" s="116"/>
    </row>
    <row r="242" spans="1:2" x14ac:dyDescent="0.35">
      <c r="A242" s="116"/>
      <c r="B242" s="116"/>
    </row>
    <row r="243" spans="1:2" x14ac:dyDescent="0.35">
      <c r="A243" s="116"/>
      <c r="B243" s="116"/>
    </row>
    <row r="244" spans="1:2" x14ac:dyDescent="0.35">
      <c r="A244" s="116"/>
      <c r="B244" s="116"/>
    </row>
    <row r="245" spans="1:2" x14ac:dyDescent="0.35">
      <c r="A245" s="116"/>
      <c r="B245" s="116"/>
    </row>
    <row r="246" spans="1:2" x14ac:dyDescent="0.35">
      <c r="A246" s="116"/>
      <c r="B246" s="116"/>
    </row>
    <row r="247" spans="1:2" x14ac:dyDescent="0.35">
      <c r="A247" s="116"/>
      <c r="B247" s="116"/>
    </row>
    <row r="248" spans="1:2" x14ac:dyDescent="0.35">
      <c r="A248" s="116"/>
      <c r="B248" s="116"/>
    </row>
    <row r="249" spans="1:2" x14ac:dyDescent="0.35">
      <c r="A249" s="116"/>
      <c r="B249" s="116"/>
    </row>
    <row r="250" spans="1:2" x14ac:dyDescent="0.35">
      <c r="A250" s="116"/>
      <c r="B250" s="116"/>
    </row>
    <row r="251" spans="1:2" x14ac:dyDescent="0.35">
      <c r="A251" s="116"/>
      <c r="B251" s="116"/>
    </row>
    <row r="252" spans="1:2" x14ac:dyDescent="0.35">
      <c r="A252" s="116"/>
      <c r="B252" s="116"/>
    </row>
    <row r="253" spans="1:2" x14ac:dyDescent="0.35">
      <c r="A253" s="116"/>
      <c r="B253" s="116"/>
    </row>
    <row r="254" spans="1:2" x14ac:dyDescent="0.35">
      <c r="A254" s="116"/>
      <c r="B254" s="116"/>
    </row>
    <row r="255" spans="1:2" x14ac:dyDescent="0.35">
      <c r="A255" s="116"/>
      <c r="B255" s="116"/>
    </row>
    <row r="256" spans="1:2" x14ac:dyDescent="0.35">
      <c r="A256" s="116"/>
      <c r="B256" s="116"/>
    </row>
    <row r="257" spans="1:2" x14ac:dyDescent="0.35">
      <c r="A257" s="116"/>
      <c r="B257" s="116"/>
    </row>
    <row r="258" spans="1:2" x14ac:dyDescent="0.35">
      <c r="A258" s="116"/>
      <c r="B258" s="116"/>
    </row>
    <row r="259" spans="1:2" x14ac:dyDescent="0.35">
      <c r="A259" s="116"/>
      <c r="B259" s="116"/>
    </row>
    <row r="260" spans="1:2" x14ac:dyDescent="0.35">
      <c r="A260" s="116"/>
      <c r="B260" s="116"/>
    </row>
    <row r="261" spans="1:2" x14ac:dyDescent="0.35">
      <c r="A261" s="116"/>
      <c r="B261" s="116"/>
    </row>
    <row r="262" spans="1:2" x14ac:dyDescent="0.35">
      <c r="A262" s="116"/>
      <c r="B262" s="116"/>
    </row>
    <row r="263" spans="1:2" x14ac:dyDescent="0.35">
      <c r="A263" s="116"/>
      <c r="B263" s="116"/>
    </row>
    <row r="264" spans="1:2" x14ac:dyDescent="0.35">
      <c r="A264" s="116"/>
      <c r="B264" s="116"/>
    </row>
    <row r="265" spans="1:2" x14ac:dyDescent="0.35">
      <c r="A265" s="116"/>
      <c r="B265" s="116"/>
    </row>
    <row r="266" spans="1:2" x14ac:dyDescent="0.35">
      <c r="A266" s="116"/>
      <c r="B266" s="116"/>
    </row>
    <row r="267" spans="1:2" x14ac:dyDescent="0.35">
      <c r="A267" s="116"/>
      <c r="B267" s="116"/>
    </row>
    <row r="268" spans="1:2" x14ac:dyDescent="0.35">
      <c r="A268" s="116"/>
      <c r="B268" s="116"/>
    </row>
    <row r="269" spans="1:2" x14ac:dyDescent="0.35">
      <c r="A269" s="123"/>
      <c r="B269" s="123"/>
    </row>
    <row r="270" spans="1:2" x14ac:dyDescent="0.35">
      <c r="A270" s="123"/>
      <c r="B270" s="123"/>
    </row>
    <row r="271" spans="1:2" x14ac:dyDescent="0.35">
      <c r="A271" s="123"/>
      <c r="B271" s="123"/>
    </row>
    <row r="272" spans="1:2" x14ac:dyDescent="0.35">
      <c r="A272" s="123"/>
      <c r="B272" s="123"/>
    </row>
    <row r="273" spans="1:2" x14ac:dyDescent="0.35">
      <c r="A273" s="123"/>
      <c r="B273" s="123"/>
    </row>
    <row r="274" spans="1:2" x14ac:dyDescent="0.35">
      <c r="A274" s="123"/>
      <c r="B274" s="123"/>
    </row>
    <row r="275" spans="1:2" x14ac:dyDescent="0.35">
      <c r="A275" s="123"/>
      <c r="B275" s="123"/>
    </row>
    <row r="276" spans="1:2" x14ac:dyDescent="0.35">
      <c r="A276" s="123"/>
      <c r="B276" s="123"/>
    </row>
    <row r="277" spans="1:2" x14ac:dyDescent="0.35">
      <c r="A277" s="123"/>
      <c r="B277" s="123"/>
    </row>
    <row r="278" spans="1:2" x14ac:dyDescent="0.35">
      <c r="A278" s="123"/>
      <c r="B278" s="123"/>
    </row>
    <row r="279" spans="1:2" x14ac:dyDescent="0.35">
      <c r="A279" s="123"/>
      <c r="B279" s="123"/>
    </row>
    <row r="280" spans="1:2" x14ac:dyDescent="0.35">
      <c r="A280" s="123"/>
      <c r="B280" s="123"/>
    </row>
    <row r="281" spans="1:2" x14ac:dyDescent="0.35">
      <c r="A281" s="123"/>
      <c r="B281" s="123"/>
    </row>
    <row r="282" spans="1:2" x14ac:dyDescent="0.35">
      <c r="A282" s="123"/>
      <c r="B282" s="123"/>
    </row>
    <row r="283" spans="1:2" x14ac:dyDescent="0.35">
      <c r="A283" s="123"/>
      <c r="B283" s="123"/>
    </row>
    <row r="284" spans="1:2" x14ac:dyDescent="0.35">
      <c r="A284" s="123"/>
      <c r="B284" s="123"/>
    </row>
    <row r="285" spans="1:2" x14ac:dyDescent="0.35">
      <c r="A285" s="123"/>
      <c r="B285" s="123"/>
    </row>
    <row r="286" spans="1:2" x14ac:dyDescent="0.35">
      <c r="A286" s="124"/>
      <c r="B286" s="124"/>
    </row>
  </sheetData>
  <sheetProtection formatRows="0" selectLockedCells="1"/>
  <pageMargins left="0.75" right="0.75" top="1" bottom="1" header="0.5" footer="0.5"/>
  <pageSetup paperSize="9" orientation="portrait" horizontalDpi="4294967292" verticalDpi="429496729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
  <sheetViews>
    <sheetView workbookViewId="0"/>
  </sheetViews>
  <sheetFormatPr baseColWidth="10" defaultColWidth="11.453125" defaultRowHeight="14.5" x14ac:dyDescent="0.35"/>
  <cols>
    <col min="1" max="1" width="121.453125" customWidth="1"/>
  </cols>
  <sheetData>
    <row r="1" spans="1:1" ht="246" x14ac:dyDescent="0.35">
      <c r="A1" s="146" t="str">
        <f ca="1">Tags!B72</f>
        <v>Das ESPA Arbeitsblatt verwendet Macros. Bitte das Arbeitsblatt schließen, Macros zulassen und neu anschließend erneut öffnen.</v>
      </c>
    </row>
  </sheetData>
  <sheetProtection formatRows="0" selectLockedCells="1"/>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F4700-BBA8-E74A-A9D4-F87F90624436}">
  <sheetPr codeName="Sheet22">
    <pageSetUpPr fitToPage="1"/>
  </sheetPr>
  <dimension ref="A1:P51"/>
  <sheetViews>
    <sheetView showGridLines="0" zoomScaleNormal="100" workbookViewId="0">
      <selection activeCell="C4" sqref="C4"/>
    </sheetView>
  </sheetViews>
  <sheetFormatPr baseColWidth="10" defaultColWidth="0" defaultRowHeight="26.25" customHeight="1" zeroHeight="1" x14ac:dyDescent="0.3"/>
  <cols>
    <col min="1" max="1" width="7" style="5" customWidth="1"/>
    <col min="2" max="2" width="42.26953125" style="5" customWidth="1"/>
    <col min="3" max="7" width="12.7265625" style="5" customWidth="1"/>
    <col min="8" max="8" width="5.453125" style="5" customWidth="1"/>
    <col min="9" max="9" width="7" style="5" customWidth="1"/>
    <col min="10" max="10" width="42.26953125" style="5" customWidth="1"/>
    <col min="11" max="15" width="12.7265625" style="5" customWidth="1"/>
    <col min="16" max="16" width="0.7265625" style="5" customWidth="1"/>
    <col min="17" max="16384" width="12.7265625" style="5" hidden="1"/>
  </cols>
  <sheetData>
    <row r="1" spans="1:15" ht="26.25" customHeight="1" thickBot="1" x14ac:dyDescent="0.35">
      <c r="A1" s="465" t="str">
        <f ca="1">Tags!B38&amp;" - "&amp;Tags!B54</f>
        <v>Gesamtbewertung - ESPA Award</v>
      </c>
      <c r="B1" s="466"/>
      <c r="C1" s="467"/>
      <c r="D1" s="466"/>
      <c r="E1" s="466"/>
      <c r="F1" s="466"/>
      <c r="G1" s="468"/>
      <c r="I1" s="532" t="str">
        <f ca="1">Tags!B38&amp;" - "&amp;Tags!B70</f>
        <v>Gesamtbewertung - ESPA Gold Award</v>
      </c>
      <c r="J1" s="533"/>
      <c r="K1" s="534"/>
      <c r="L1" s="533"/>
      <c r="M1" s="533"/>
      <c r="N1" s="533"/>
      <c r="O1" s="535"/>
    </row>
    <row r="2" spans="1:15" ht="12" customHeight="1" x14ac:dyDescent="0.3">
      <c r="A2" s="13"/>
      <c r="B2" s="13"/>
      <c r="C2" s="13"/>
      <c r="D2" s="13"/>
      <c r="E2" s="13"/>
      <c r="F2" s="13"/>
      <c r="G2" s="13"/>
      <c r="I2" s="13"/>
      <c r="J2" s="13"/>
      <c r="K2" s="13"/>
      <c r="L2" s="13"/>
      <c r="M2" s="13"/>
      <c r="N2" s="13"/>
      <c r="O2" s="13"/>
    </row>
    <row r="3" spans="1:15" s="21" customFormat="1" ht="28" customHeight="1" x14ac:dyDescent="0.35">
      <c r="A3" s="627" t="str">
        <f ca="1">Tags!B39</f>
        <v>Kategorie</v>
      </c>
      <c r="B3" s="628"/>
      <c r="C3" s="48" t="str">
        <f ca="1">Tags!B44</f>
        <v>% erreicht</v>
      </c>
      <c r="D3" s="44" t="str">
        <f ca="1">Tags!B45</f>
        <v>Minimum</v>
      </c>
      <c r="E3" s="490" t="str">
        <f ca="1">Tags!B46</f>
        <v>Punktzahl der Kategorie</v>
      </c>
      <c r="F3" s="490" t="str">
        <f ca="1">Tags!B47</f>
        <v>erreichte Punktzahl</v>
      </c>
      <c r="G3" s="44" t="str">
        <f ca="1">Tags!B48</f>
        <v>Status</v>
      </c>
      <c r="I3" s="625" t="str">
        <f ca="1">A3</f>
        <v>Kategorie</v>
      </c>
      <c r="J3" s="626"/>
      <c r="K3" s="498" t="str">
        <f ca="1">C3</f>
        <v>% erreicht</v>
      </c>
      <c r="L3" s="499" t="str">
        <f ca="1">D3</f>
        <v>Minimum</v>
      </c>
      <c r="M3" s="500" t="str">
        <f ca="1">E3</f>
        <v>Punktzahl der Kategorie</v>
      </c>
      <c r="N3" s="500" t="str">
        <f ca="1">F3</f>
        <v>erreichte Punktzahl</v>
      </c>
      <c r="O3" s="499" t="str">
        <f ca="1">G3</f>
        <v>Status</v>
      </c>
    </row>
    <row r="4" spans="1:15" s="13" customFormat="1" ht="17.25" customHeight="1" x14ac:dyDescent="0.35">
      <c r="A4" s="53">
        <v>1</v>
      </c>
      <c r="B4" s="76" t="str">
        <f ca="1">'1. Mandatory Conditions'!C1</f>
        <v>Erforderliche Mindestkriterien</v>
      </c>
      <c r="C4" s="491"/>
      <c r="D4" s="491"/>
      <c r="E4" s="492"/>
      <c r="F4" s="493"/>
      <c r="G4" s="77" t="str">
        <f ca="1">+'Detailed Results'!M4</f>
        <v>nicht bestanden</v>
      </c>
      <c r="H4" s="21"/>
      <c r="I4" s="501">
        <v>1</v>
      </c>
      <c r="J4" s="502" t="str">
        <f ca="1">B4</f>
        <v>Erforderliche Mindestkriterien</v>
      </c>
      <c r="K4" s="503"/>
      <c r="L4" s="503"/>
      <c r="M4" s="504"/>
      <c r="N4" s="505"/>
      <c r="O4" s="506" t="str">
        <f ca="1">'Mandatory Conditions Gold Award'!I9</f>
        <v>nicht bestanden</v>
      </c>
    </row>
    <row r="5" spans="1:15" s="13" customFormat="1" ht="17.25" customHeight="1" x14ac:dyDescent="0.35">
      <c r="A5" s="40">
        <f>'2. Lighting'!$A$1</f>
        <v>2</v>
      </c>
      <c r="B5" s="13" t="str">
        <f ca="1">'2. Lighting'!$D$1</f>
        <v>Beleuchtung</v>
      </c>
      <c r="C5" s="50">
        <f>+'Detailed Results'!I7</f>
        <v>0</v>
      </c>
      <c r="D5" s="51">
        <v>0.4</v>
      </c>
      <c r="E5" s="32">
        <v>16</v>
      </c>
      <c r="F5" s="42">
        <f t="shared" ref="F5:F13" si="0">C5*E5</f>
        <v>0</v>
      </c>
      <c r="G5" s="72" t="str">
        <f ca="1">IF(C5&gt;=D5,pass,IF('Detailed Results'!F7=0,fail,incomplete))</f>
        <v>unvollständig</v>
      </c>
      <c r="H5" s="21"/>
      <c r="I5" s="507">
        <f>'2. Lighting'!$A$1</f>
        <v>2</v>
      </c>
      <c r="J5" s="508" t="str">
        <f ca="1">'2. Lighting'!$D$1</f>
        <v>Beleuchtung</v>
      </c>
      <c r="K5" s="509">
        <f t="shared" ref="K5:K13" si="1">+C5</f>
        <v>0</v>
      </c>
      <c r="L5" s="510">
        <f t="shared" ref="L5:L13" si="2">+D5+10%</f>
        <v>0.5</v>
      </c>
      <c r="M5" s="511">
        <v>16</v>
      </c>
      <c r="N5" s="512">
        <f t="shared" ref="N5:N13" si="3">K5*M5</f>
        <v>0</v>
      </c>
      <c r="O5" s="513" t="str">
        <f ca="1">IF(K5&gt;=L5,pass,IF('Detailed Results'!F33=0,fail,incomplete))</f>
        <v>nicht bestanden</v>
      </c>
    </row>
    <row r="6" spans="1:15" s="13" customFormat="1" ht="17.25" customHeight="1" x14ac:dyDescent="0.35">
      <c r="A6" s="40">
        <f>'3. Entry Exit'!$A$1</f>
        <v>3</v>
      </c>
      <c r="B6" s="13" t="str">
        <f ca="1">'3. Entry Exit'!$D$1</f>
        <v>Einfahrt / Ausfahrt</v>
      </c>
      <c r="C6" s="50">
        <f>+'Detailed Results'!I8</f>
        <v>0</v>
      </c>
      <c r="D6" s="51">
        <v>0.4</v>
      </c>
      <c r="E6" s="32">
        <v>8</v>
      </c>
      <c r="F6" s="42">
        <f t="shared" si="0"/>
        <v>0</v>
      </c>
      <c r="G6" s="73" t="str">
        <f ca="1">IF(C6&gt;=D6,pass,IF('Detailed Results'!F8=0,fail,incomplete))</f>
        <v>unvollständig</v>
      </c>
      <c r="H6" s="21"/>
      <c r="I6" s="507">
        <f>'3. Entry Exit'!$A$1</f>
        <v>3</v>
      </c>
      <c r="J6" s="508" t="str">
        <f ca="1">'3. Entry Exit'!$D$1</f>
        <v>Einfahrt / Ausfahrt</v>
      </c>
      <c r="K6" s="509">
        <f t="shared" si="1"/>
        <v>0</v>
      </c>
      <c r="L6" s="510">
        <f t="shared" si="2"/>
        <v>0.5</v>
      </c>
      <c r="M6" s="511">
        <v>8</v>
      </c>
      <c r="N6" s="512">
        <f t="shared" si="3"/>
        <v>0</v>
      </c>
      <c r="O6" s="514" t="str">
        <f ca="1">IF(K6&gt;=L6,pass,IF('Detailed Results'!F34=0,fail,incomplete))</f>
        <v>nicht bestanden</v>
      </c>
    </row>
    <row r="7" spans="1:15" s="13" customFormat="1" ht="17.25" customHeight="1" x14ac:dyDescent="0.35">
      <c r="A7" s="40">
        <f>'4. Parking Area'!$A$1</f>
        <v>4</v>
      </c>
      <c r="B7" s="13" t="str">
        <f ca="1">'4. Parking Area'!$D$1</f>
        <v>Parkbereich</v>
      </c>
      <c r="C7" s="50">
        <f>+'Detailed Results'!I9</f>
        <v>0</v>
      </c>
      <c r="D7" s="51">
        <v>0.4</v>
      </c>
      <c r="E7" s="32">
        <v>18</v>
      </c>
      <c r="F7" s="42">
        <f t="shared" si="0"/>
        <v>0</v>
      </c>
      <c r="G7" s="73" t="str">
        <f ca="1">IF(C7&gt;=D7,pass,IF('Detailed Results'!F9=0,fail,incomplete))</f>
        <v>unvollständig</v>
      </c>
      <c r="H7" s="21"/>
      <c r="I7" s="507">
        <f>'4. Parking Area'!$A$1</f>
        <v>4</v>
      </c>
      <c r="J7" s="508" t="str">
        <f ca="1">'4. Parking Area'!$D$1</f>
        <v>Parkbereich</v>
      </c>
      <c r="K7" s="509">
        <f t="shared" si="1"/>
        <v>0</v>
      </c>
      <c r="L7" s="510">
        <f t="shared" si="2"/>
        <v>0.5</v>
      </c>
      <c r="M7" s="511">
        <v>18</v>
      </c>
      <c r="N7" s="512">
        <f t="shared" si="3"/>
        <v>0</v>
      </c>
      <c r="O7" s="514" t="str">
        <f ca="1">IF(K7&gt;=L7,pass,IF('Detailed Results'!F35=0,fail,incomplete))</f>
        <v>nicht bestanden</v>
      </c>
    </row>
    <row r="8" spans="1:15" s="13" customFormat="1" ht="17.25" customHeight="1" x14ac:dyDescent="0.35">
      <c r="A8" s="40">
        <f>'5. Ramps'!$A$1</f>
        <v>5</v>
      </c>
      <c r="B8" s="13" t="str">
        <f ca="1">'5. Ramps'!$D$1</f>
        <v>Auf-/Abfahrtsrampen</v>
      </c>
      <c r="C8" s="50">
        <f>+'Detailed Results'!I10</f>
        <v>0</v>
      </c>
      <c r="D8" s="51">
        <v>0.4</v>
      </c>
      <c r="E8" s="32">
        <v>8</v>
      </c>
      <c r="F8" s="42">
        <f t="shared" si="0"/>
        <v>0</v>
      </c>
      <c r="G8" s="73" t="str">
        <f ca="1">IF(C8&gt;=D8,pass,IF('Detailed Results'!F10=0,fail,incomplete))</f>
        <v>unvollständig</v>
      </c>
      <c r="H8" s="21"/>
      <c r="I8" s="507">
        <f>'5. Ramps'!$A$1</f>
        <v>5</v>
      </c>
      <c r="J8" s="508" t="str">
        <f ca="1">'5. Ramps'!$D$1</f>
        <v>Auf-/Abfahrtsrampen</v>
      </c>
      <c r="K8" s="509">
        <f t="shared" si="1"/>
        <v>0</v>
      </c>
      <c r="L8" s="510">
        <f t="shared" si="2"/>
        <v>0.5</v>
      </c>
      <c r="M8" s="511">
        <v>8</v>
      </c>
      <c r="N8" s="512">
        <f t="shared" si="3"/>
        <v>0</v>
      </c>
      <c r="O8" s="514" t="str">
        <f ca="1">IF(K8&gt;=L8,pass,IF('Detailed Results'!F36=0,fail,incomplete))</f>
        <v>nicht bestanden</v>
      </c>
    </row>
    <row r="9" spans="1:15" s="13" customFormat="1" ht="17.25" customHeight="1" x14ac:dyDescent="0.35">
      <c r="A9" s="40">
        <f>'6. Pedestrian Access'!$A$1</f>
        <v>6</v>
      </c>
      <c r="B9" s="13" t="str">
        <f ca="1">'6. Pedestrian Access'!$D$1</f>
        <v>Fußgängerzugang</v>
      </c>
      <c r="C9" s="50">
        <f>+'Detailed Results'!I11</f>
        <v>0</v>
      </c>
      <c r="D9" s="51">
        <v>0.4</v>
      </c>
      <c r="E9" s="32">
        <v>16</v>
      </c>
      <c r="F9" s="42">
        <f t="shared" si="0"/>
        <v>0</v>
      </c>
      <c r="G9" s="73" t="str">
        <f ca="1">IF(C9&gt;=D9,pass,IF('Detailed Results'!F11=0,fail,incomplete))</f>
        <v>unvollständig</v>
      </c>
      <c r="H9" s="21"/>
      <c r="I9" s="507">
        <f>'6. Pedestrian Access'!$A$1</f>
        <v>6</v>
      </c>
      <c r="J9" s="508" t="str">
        <f ca="1">'6. Pedestrian Access'!$D$1</f>
        <v>Fußgängerzugang</v>
      </c>
      <c r="K9" s="509">
        <f t="shared" si="1"/>
        <v>0</v>
      </c>
      <c r="L9" s="510">
        <f t="shared" si="2"/>
        <v>0.5</v>
      </c>
      <c r="M9" s="511">
        <v>16</v>
      </c>
      <c r="N9" s="512">
        <f t="shared" si="3"/>
        <v>0</v>
      </c>
      <c r="O9" s="514" t="str">
        <f ca="1">IF(K9&gt;=L9,pass,IF('Detailed Results'!F37=0,fail,incomplete))</f>
        <v>nicht bestanden</v>
      </c>
    </row>
    <row r="10" spans="1:15" s="13" customFormat="1" ht="17.25" customHeight="1" x14ac:dyDescent="0.35">
      <c r="A10" s="40">
        <v>7</v>
      </c>
      <c r="B10" s="13" t="str">
        <f ca="1">'7. Security equipment'!$D$1</f>
        <v>Sicherheitsausstattung</v>
      </c>
      <c r="C10" s="50">
        <f>+'Detailed Results'!I12</f>
        <v>0</v>
      </c>
      <c r="D10" s="51">
        <v>0.4</v>
      </c>
      <c r="E10" s="32">
        <v>8</v>
      </c>
      <c r="F10" s="42">
        <f t="shared" si="0"/>
        <v>0</v>
      </c>
      <c r="G10" s="73" t="str">
        <f ca="1">IF(C10&gt;=D10,pass,IF('Detailed Results'!F12=0,fail,incomplete))</f>
        <v>unvollständig</v>
      </c>
      <c r="H10" s="21"/>
      <c r="I10" s="507">
        <v>7</v>
      </c>
      <c r="J10" s="508" t="str">
        <f ca="1">'7. Security equipment'!$D$1</f>
        <v>Sicherheitsausstattung</v>
      </c>
      <c r="K10" s="509">
        <f t="shared" si="1"/>
        <v>0</v>
      </c>
      <c r="L10" s="510">
        <f t="shared" si="2"/>
        <v>0.5</v>
      </c>
      <c r="M10" s="511">
        <v>8</v>
      </c>
      <c r="N10" s="512">
        <f t="shared" si="3"/>
        <v>0</v>
      </c>
      <c r="O10" s="514" t="str">
        <f ca="1">IF(K10&gt;=L10,pass,IF('Detailed Results'!F38=0,fail,incomplete))</f>
        <v>nicht bestanden</v>
      </c>
    </row>
    <row r="11" spans="1:15" s="13" customFormat="1" ht="17.25" customHeight="1" x14ac:dyDescent="0.35">
      <c r="A11" s="40">
        <v>8</v>
      </c>
      <c r="B11" s="13" t="str">
        <f ca="1">'8. Wayfinding'!$D$1</f>
        <v>Wegweisung innerhalb/außerhalb der Parkeinrichtung</v>
      </c>
      <c r="C11" s="50">
        <f>+'Detailed Results'!I13</f>
        <v>0</v>
      </c>
      <c r="D11" s="51">
        <v>0.4</v>
      </c>
      <c r="E11" s="32">
        <v>8</v>
      </c>
      <c r="F11" s="42">
        <f t="shared" si="0"/>
        <v>0</v>
      </c>
      <c r="G11" s="73" t="str">
        <f ca="1">IF(C11&gt;=D11,pass,IF('Detailed Results'!F13=0,fail,incomplete))</f>
        <v>unvollständig</v>
      </c>
      <c r="H11" s="21"/>
      <c r="I11" s="507">
        <v>8</v>
      </c>
      <c r="J11" s="508" t="str">
        <f ca="1">'8. Wayfinding'!$D$1</f>
        <v>Wegweisung innerhalb/außerhalb der Parkeinrichtung</v>
      </c>
      <c r="K11" s="509">
        <f t="shared" si="1"/>
        <v>0</v>
      </c>
      <c r="L11" s="510">
        <f t="shared" si="2"/>
        <v>0.5</v>
      </c>
      <c r="M11" s="511">
        <v>8</v>
      </c>
      <c r="N11" s="512">
        <f t="shared" si="3"/>
        <v>0</v>
      </c>
      <c r="O11" s="514" t="str">
        <f ca="1">IF(K11&gt;=L11,pass,IF('Detailed Results'!F39=0,fail,incomplete))</f>
        <v>nicht bestanden</v>
      </c>
    </row>
    <row r="12" spans="1:15" s="13" customFormat="1" ht="17.25" customHeight="1" x14ac:dyDescent="0.35">
      <c r="A12" s="40">
        <v>9</v>
      </c>
      <c r="B12" s="13" t="str">
        <f ca="1">'9. Comfort'!$D$1</f>
        <v>Komfort und Verschiedenes</v>
      </c>
      <c r="C12" s="50">
        <f>+'Detailed Results'!I14</f>
        <v>6.8181818181818177E-2</v>
      </c>
      <c r="D12" s="51">
        <v>0.3</v>
      </c>
      <c r="E12" s="32">
        <v>8</v>
      </c>
      <c r="F12" s="42">
        <f t="shared" si="0"/>
        <v>0.54545454545454541</v>
      </c>
      <c r="G12" s="73" t="str">
        <f ca="1">IF(C12&gt;=D12,pass,IF('Detailed Results'!F14=0,fail,incomplete))</f>
        <v>unvollständig</v>
      </c>
      <c r="H12" s="21"/>
      <c r="I12" s="507">
        <v>9</v>
      </c>
      <c r="J12" s="508" t="str">
        <f ca="1">'9. Comfort'!$D$1</f>
        <v>Komfort und Verschiedenes</v>
      </c>
      <c r="K12" s="509">
        <f t="shared" si="1"/>
        <v>6.8181818181818177E-2</v>
      </c>
      <c r="L12" s="510">
        <f t="shared" si="2"/>
        <v>0.4</v>
      </c>
      <c r="M12" s="511">
        <v>8</v>
      </c>
      <c r="N12" s="512">
        <f t="shared" si="3"/>
        <v>0.54545454545454541</v>
      </c>
      <c r="O12" s="514" t="str">
        <f ca="1">IF(K12&gt;=L12,pass,IF('Detailed Results'!F40=0,fail,incomplete))</f>
        <v>nicht bestanden</v>
      </c>
    </row>
    <row r="13" spans="1:15" s="13" customFormat="1" ht="17.25" customHeight="1" x14ac:dyDescent="0.35">
      <c r="A13" s="41">
        <v>10</v>
      </c>
      <c r="B13" s="74" t="str">
        <f ca="1">'10. Energy Environment'!$D$1</f>
        <v>Energie und Umwelt</v>
      </c>
      <c r="C13" s="52">
        <f>+'Detailed Results'!I15</f>
        <v>0</v>
      </c>
      <c r="D13" s="47">
        <v>0.2</v>
      </c>
      <c r="E13" s="33">
        <v>10</v>
      </c>
      <c r="F13" s="43">
        <f t="shared" si="0"/>
        <v>0</v>
      </c>
      <c r="G13" s="75" t="str">
        <f ca="1">IF(C13&gt;=D13,pass,IF('Detailed Results'!F15=0,fail,incomplete))</f>
        <v>nicht bestanden</v>
      </c>
      <c r="H13" s="21"/>
      <c r="I13" s="515">
        <v>10</v>
      </c>
      <c r="J13" s="516" t="str">
        <f ca="1">'10. Energy Environment'!$D$1</f>
        <v>Energie und Umwelt</v>
      </c>
      <c r="K13" s="517">
        <f t="shared" si="1"/>
        <v>0</v>
      </c>
      <c r="L13" s="518">
        <f t="shared" si="2"/>
        <v>0.30000000000000004</v>
      </c>
      <c r="M13" s="519">
        <v>10</v>
      </c>
      <c r="N13" s="520">
        <f t="shared" si="3"/>
        <v>0</v>
      </c>
      <c r="O13" s="521" t="str">
        <f ca="1">IF(K13&gt;=L13,pass,IF('Detailed Results'!F41=0,fail,incomplete))</f>
        <v>nicht bestanden</v>
      </c>
    </row>
    <row r="14" spans="1:15" ht="17.25" customHeight="1" x14ac:dyDescent="0.3">
      <c r="A14" s="641" t="str">
        <f ca="1">Tags!B50</f>
        <v>Zwischensummen</v>
      </c>
      <c r="B14" s="642"/>
      <c r="C14" s="642"/>
      <c r="D14" s="643"/>
      <c r="E14" s="139">
        <f>SUM(E5:E13)</f>
        <v>100</v>
      </c>
      <c r="F14" s="546">
        <f>SUM(F5:F13)</f>
        <v>0.54545454545454541</v>
      </c>
      <c r="G14" s="13"/>
      <c r="H14" s="21"/>
      <c r="I14" s="647" t="str">
        <f ca="1">+A14</f>
        <v>Zwischensummen</v>
      </c>
      <c r="J14" s="648"/>
      <c r="K14" s="648"/>
      <c r="L14" s="649"/>
      <c r="M14" s="522">
        <f>SUM(M5:M13)</f>
        <v>100</v>
      </c>
      <c r="N14" s="545">
        <f>SUM(N5:N13)</f>
        <v>0.54545454545454541</v>
      </c>
      <c r="O14" s="508"/>
    </row>
    <row r="15" spans="1:15" ht="17.25" customHeight="1" x14ac:dyDescent="0.3">
      <c r="A15" s="13"/>
      <c r="B15" s="13"/>
      <c r="C15" s="13"/>
      <c r="D15" s="13"/>
      <c r="E15" s="13"/>
      <c r="F15" s="13"/>
      <c r="G15" s="21"/>
      <c r="H15" s="21"/>
      <c r="I15" s="508"/>
      <c r="J15" s="508"/>
      <c r="K15" s="508"/>
      <c r="L15" s="508"/>
      <c r="M15" s="508"/>
      <c r="N15" s="508"/>
      <c r="O15" s="523"/>
    </row>
    <row r="16" spans="1:15" ht="17.25" customHeight="1" x14ac:dyDescent="0.3">
      <c r="A16" s="39" t="str">
        <f>Minus!$A$1</f>
        <v>M</v>
      </c>
      <c r="B16" s="71" t="str">
        <f ca="1">Minus!$D$1</f>
        <v>Minuspunkte</v>
      </c>
      <c r="C16" s="137">
        <f>+'Detailed Results'!I18</f>
        <v>0</v>
      </c>
      <c r="D16" s="540" t="s">
        <v>2927</v>
      </c>
      <c r="E16" s="31">
        <v>-15</v>
      </c>
      <c r="F16" s="36">
        <f>E16*C16</f>
        <v>0</v>
      </c>
      <c r="G16" s="21"/>
      <c r="H16" s="21"/>
      <c r="I16" s="524" t="str">
        <f>Minus!$A$1</f>
        <v>M</v>
      </c>
      <c r="J16" s="525" t="str">
        <f ca="1">Minus!$D$1</f>
        <v>Minuspunkte</v>
      </c>
      <c r="K16" s="542">
        <f>+'Evaluation Sheet'!C16</f>
        <v>0</v>
      </c>
      <c r="L16" s="544" t="s">
        <v>2927</v>
      </c>
      <c r="M16" s="526">
        <v>-15</v>
      </c>
      <c r="N16" s="527">
        <f>M16*K16</f>
        <v>0</v>
      </c>
      <c r="O16" s="523"/>
    </row>
    <row r="17" spans="1:15" ht="17.25" customHeight="1" x14ac:dyDescent="0.3">
      <c r="A17" s="40" t="str">
        <f>Bonus!$A$1</f>
        <v>B</v>
      </c>
      <c r="B17" s="13" t="str">
        <f ca="1">Bonus!$D$1</f>
        <v>Bonuspunkte</v>
      </c>
      <c r="C17" s="138">
        <f>+'Detailed Results'!I19</f>
        <v>0</v>
      </c>
      <c r="D17" s="541" t="s">
        <v>2927</v>
      </c>
      <c r="E17" s="33">
        <v>15</v>
      </c>
      <c r="F17" s="43">
        <f>C17*E17</f>
        <v>0</v>
      </c>
      <c r="G17" s="21"/>
      <c r="H17" s="21"/>
      <c r="I17" s="507" t="str">
        <f>Bonus!$A$1</f>
        <v>B</v>
      </c>
      <c r="J17" s="508" t="str">
        <f ca="1">Bonus!$D$1</f>
        <v>Bonuspunkte</v>
      </c>
      <c r="K17" s="517">
        <f>+C17</f>
        <v>0</v>
      </c>
      <c r="L17" s="543" t="s">
        <v>2853</v>
      </c>
      <c r="M17" s="519">
        <v>15</v>
      </c>
      <c r="N17" s="520">
        <f>K17*M17</f>
        <v>0</v>
      </c>
      <c r="O17" s="523"/>
    </row>
    <row r="18" spans="1:15" ht="17.25" customHeight="1" x14ac:dyDescent="0.3">
      <c r="A18" s="641" t="str">
        <f ca="1">A14</f>
        <v>Zwischensummen</v>
      </c>
      <c r="B18" s="642"/>
      <c r="C18" s="642"/>
      <c r="D18" s="643"/>
      <c r="E18" s="139">
        <f>SUM(E16:E17)</f>
        <v>0</v>
      </c>
      <c r="F18" s="546">
        <f>SUM(F16:F17)</f>
        <v>0</v>
      </c>
      <c r="G18" s="21"/>
      <c r="H18" s="21"/>
      <c r="I18" s="647" t="str">
        <f ca="1">I14</f>
        <v>Zwischensummen</v>
      </c>
      <c r="J18" s="648"/>
      <c r="K18" s="648"/>
      <c r="L18" s="649"/>
      <c r="M18" s="522">
        <f>SUM(M16:M17)</f>
        <v>0</v>
      </c>
      <c r="N18" s="545">
        <f>SUM(N16:N17)</f>
        <v>0</v>
      </c>
      <c r="O18" s="523"/>
    </row>
    <row r="19" spans="1:15" ht="17.25" customHeight="1" x14ac:dyDescent="0.3">
      <c r="A19" s="21"/>
      <c r="B19" s="21"/>
      <c r="C19" s="21"/>
      <c r="D19" s="21"/>
      <c r="E19" s="21"/>
      <c r="F19" s="21"/>
      <c r="G19" s="21"/>
      <c r="H19" s="21"/>
      <c r="I19" s="523"/>
      <c r="J19" s="523"/>
      <c r="K19" s="523"/>
      <c r="L19" s="523"/>
      <c r="M19" s="523"/>
      <c r="N19" s="523"/>
      <c r="O19" s="523"/>
    </row>
    <row r="20" spans="1:15" ht="17.25" customHeight="1" x14ac:dyDescent="0.3">
      <c r="A20" s="644" t="str">
        <f ca="1">Tags!B51</f>
        <v>Summen</v>
      </c>
      <c r="B20" s="645"/>
      <c r="C20" s="645"/>
      <c r="D20" s="646"/>
      <c r="E20" s="139">
        <f>E14+E18</f>
        <v>100</v>
      </c>
      <c r="F20" s="546">
        <f>F14+F18</f>
        <v>0.54545454545454541</v>
      </c>
      <c r="G20" s="21"/>
      <c r="H20" s="21"/>
      <c r="I20" s="650" t="str">
        <f ca="1">+A20</f>
        <v>Summen</v>
      </c>
      <c r="J20" s="651"/>
      <c r="K20" s="651"/>
      <c r="L20" s="652"/>
      <c r="M20" s="522">
        <f>M14+M18</f>
        <v>100</v>
      </c>
      <c r="N20" s="545">
        <f>N14+N18</f>
        <v>0.54545454545454541</v>
      </c>
      <c r="O20" s="523"/>
    </row>
    <row r="21" spans="1:15" ht="26.25" customHeight="1" x14ac:dyDescent="0.3">
      <c r="A21" s="13"/>
      <c r="B21" s="13"/>
      <c r="C21" s="13"/>
      <c r="D21" s="13"/>
      <c r="E21" s="13"/>
      <c r="F21" s="13"/>
      <c r="G21" s="21"/>
      <c r="H21" s="21"/>
      <c r="I21" s="508"/>
      <c r="J21" s="508"/>
      <c r="K21" s="508"/>
      <c r="L21" s="508"/>
      <c r="M21" s="508"/>
      <c r="N21" s="508"/>
      <c r="O21" s="523"/>
    </row>
    <row r="22" spans="1:15" s="496" customFormat="1" ht="19" customHeight="1" x14ac:dyDescent="0.35">
      <c r="A22" s="489" t="str">
        <f ca="1">Tags!B52</f>
        <v>Mindestanforderung für ESPA Award</v>
      </c>
      <c r="B22" s="494"/>
      <c r="C22" s="495">
        <v>0.5</v>
      </c>
      <c r="D22" s="653" t="str">
        <f ca="1">Tags!B54</f>
        <v>ESPA Award</v>
      </c>
      <c r="E22" s="654"/>
      <c r="F22" s="654"/>
      <c r="G22" s="655"/>
      <c r="I22" s="528" t="str">
        <f ca="1">+A22</f>
        <v>Mindestanforderung für ESPA Award</v>
      </c>
      <c r="J22" s="529"/>
      <c r="K22" s="530">
        <v>0.65</v>
      </c>
      <c r="L22" s="629" t="str">
        <f ca="1">Tags!B70</f>
        <v>ESPA Gold Award</v>
      </c>
      <c r="M22" s="630"/>
      <c r="N22" s="630"/>
      <c r="O22" s="631"/>
    </row>
    <row r="23" spans="1:15" s="496" customFormat="1" ht="19" customHeight="1" x14ac:dyDescent="0.35">
      <c r="A23" s="489" t="str">
        <f ca="1">B4</f>
        <v>Erforderliche Mindestkriterien</v>
      </c>
      <c r="B23" s="494"/>
      <c r="C23" s="497" t="str">
        <f ca="1">IF(G4=pass,"OK",IF(G4=fail,"KO","-"))</f>
        <v>KO</v>
      </c>
      <c r="D23" s="656"/>
      <c r="E23" s="657"/>
      <c r="F23" s="657"/>
      <c r="G23" s="658"/>
      <c r="I23" s="528" t="str">
        <f ca="1">+A23</f>
        <v>Erforderliche Mindestkriterien</v>
      </c>
      <c r="J23" s="529"/>
      <c r="K23" s="531" t="str">
        <f ca="1">IF(O4=pass,"OK",IF(O4=fail,"KO","-"))</f>
        <v>KO</v>
      </c>
      <c r="L23" s="632"/>
      <c r="M23" s="633"/>
      <c r="N23" s="633"/>
      <c r="O23" s="634"/>
    </row>
    <row r="24" spans="1:15" s="496" customFormat="1" ht="19" customHeight="1" x14ac:dyDescent="0.35">
      <c r="A24" s="489" t="str">
        <f ca="1">Tags!B53</f>
        <v>Mindestpunktzahl dieser Kategorie</v>
      </c>
      <c r="B24" s="494"/>
      <c r="C24" s="497" t="str">
        <f ca="1">IF(COUNTIF(G5:G13,pass)&lt;9,"KO","OK")</f>
        <v>KO</v>
      </c>
      <c r="D24" s="635" t="str">
        <f ca="1">UPPER(IF(AND(C25&gt;=C22,C24="OK",C23="OK"),yes,IF(OR(C25&lt;C22,C23="KO",C24="KO"),no,"NA")))</f>
        <v>NEIN</v>
      </c>
      <c r="E24" s="636"/>
      <c r="F24" s="636"/>
      <c r="G24" s="637"/>
      <c r="I24" s="528" t="str">
        <f ca="1">+A24</f>
        <v>Mindestpunktzahl dieser Kategorie</v>
      </c>
      <c r="J24" s="529"/>
      <c r="K24" s="531" t="str">
        <f ca="1">IF(COUNTIF(O5:O13,pass)&lt;9,"KO","OK")</f>
        <v>KO</v>
      </c>
      <c r="L24" s="635" t="str">
        <f ca="1">UPPER(IF(AND(K25&gt;=K22,K24="OK",K23="OK"),yes,IF(OR(K25&lt;K22,K23="KO",K24="KO"),no,"NA")))</f>
        <v>NEIN</v>
      </c>
      <c r="M24" s="636"/>
      <c r="N24" s="636"/>
      <c r="O24" s="637"/>
    </row>
    <row r="25" spans="1:15" s="496" customFormat="1" ht="19" customHeight="1" x14ac:dyDescent="0.35">
      <c r="A25" s="489" t="str">
        <f ca="1">Tags!B44</f>
        <v>% erreicht</v>
      </c>
      <c r="B25" s="494"/>
      <c r="C25" s="497">
        <f>+F20/100</f>
        <v>5.4545454545454541E-3</v>
      </c>
      <c r="D25" s="638"/>
      <c r="E25" s="639"/>
      <c r="F25" s="639"/>
      <c r="G25" s="640"/>
      <c r="I25" s="528" t="str">
        <f ca="1">+A25</f>
        <v>% erreicht</v>
      </c>
      <c r="J25" s="529"/>
      <c r="K25" s="531">
        <f>+N20/100</f>
        <v>5.4545454545454541E-3</v>
      </c>
      <c r="L25" s="638"/>
      <c r="M25" s="639"/>
      <c r="N25" s="639"/>
      <c r="O25" s="640"/>
    </row>
    <row r="29" spans="1:15" s="21" customFormat="1" ht="28" hidden="1" customHeight="1" x14ac:dyDescent="0.35"/>
    <row r="30" spans="1:15" s="13" customFormat="1" ht="17.25" hidden="1" customHeight="1" x14ac:dyDescent="0.35">
      <c r="H30" s="21"/>
    </row>
    <row r="31" spans="1:15" s="13" customFormat="1" ht="17.25" hidden="1" customHeight="1" x14ac:dyDescent="0.35">
      <c r="H31" s="21"/>
    </row>
    <row r="32" spans="1:15" s="13" customFormat="1" ht="17.25" hidden="1" customHeight="1" x14ac:dyDescent="0.35">
      <c r="H32" s="21"/>
    </row>
    <row r="33" spans="8:8" s="13" customFormat="1" ht="17.25" hidden="1" customHeight="1" x14ac:dyDescent="0.35">
      <c r="H33" s="21"/>
    </row>
    <row r="34" spans="8:8" s="13" customFormat="1" ht="17.25" hidden="1" customHeight="1" x14ac:dyDescent="0.35">
      <c r="H34" s="21"/>
    </row>
    <row r="35" spans="8:8" s="13" customFormat="1" ht="17.25" hidden="1" customHeight="1" x14ac:dyDescent="0.35">
      <c r="H35" s="21"/>
    </row>
    <row r="36" spans="8:8" s="13" customFormat="1" ht="17.25" hidden="1" customHeight="1" x14ac:dyDescent="0.35">
      <c r="H36" s="21"/>
    </row>
    <row r="37" spans="8:8" s="13" customFormat="1" ht="17.25" hidden="1" customHeight="1" x14ac:dyDescent="0.35">
      <c r="H37" s="21"/>
    </row>
    <row r="38" spans="8:8" s="13" customFormat="1" ht="17.25" hidden="1" customHeight="1" x14ac:dyDescent="0.35">
      <c r="H38" s="21"/>
    </row>
    <row r="39" spans="8:8" s="13" customFormat="1" ht="17.25" hidden="1" customHeight="1" x14ac:dyDescent="0.35">
      <c r="H39" s="21"/>
    </row>
    <row r="40" spans="8:8" ht="17.25" hidden="1" customHeight="1" x14ac:dyDescent="0.3">
      <c r="H40" s="21"/>
    </row>
    <row r="41" spans="8:8" ht="17.25" hidden="1" customHeight="1" x14ac:dyDescent="0.3">
      <c r="H41" s="21"/>
    </row>
    <row r="42" spans="8:8" ht="17.25" hidden="1" customHeight="1" x14ac:dyDescent="0.3">
      <c r="H42" s="21"/>
    </row>
    <row r="43" spans="8:8" ht="17.25" hidden="1" customHeight="1" x14ac:dyDescent="0.3">
      <c r="H43" s="21"/>
    </row>
    <row r="44" spans="8:8" ht="17.25" hidden="1" customHeight="1" x14ac:dyDescent="0.3">
      <c r="H44" s="21"/>
    </row>
    <row r="45" spans="8:8" ht="17.25" hidden="1" customHeight="1" x14ac:dyDescent="0.3">
      <c r="H45" s="21"/>
    </row>
    <row r="46" spans="8:8" ht="17.25" hidden="1" customHeight="1" x14ac:dyDescent="0.3">
      <c r="H46" s="21"/>
    </row>
    <row r="47" spans="8:8" ht="26.25" hidden="1" customHeight="1" x14ac:dyDescent="0.3">
      <c r="H47" s="21"/>
    </row>
    <row r="48" spans="8:8" s="496" customFormat="1" ht="19" hidden="1" customHeight="1" x14ac:dyDescent="0.35"/>
    <row r="49" s="496" customFormat="1" ht="19" hidden="1" customHeight="1" x14ac:dyDescent="0.35"/>
    <row r="50" s="496" customFormat="1" ht="19" hidden="1" customHeight="1" x14ac:dyDescent="0.35"/>
    <row r="51" s="496" customFormat="1" ht="19" hidden="1" customHeight="1" x14ac:dyDescent="0.35"/>
  </sheetData>
  <sheetProtection algorithmName="SHA-512" hashValue="1629z681QdE7K5HuwcusBuf27DG45R3d18f6yKdoSvBMFF6EEbQOUFjKYFkg3vvJMBlF1INwei1lL5lTnSMZJQ==" saltValue="gSTll0Rcy1ZlK/DRmrMbzg==" spinCount="100000" sheet="1" selectLockedCells="1"/>
  <mergeCells count="12">
    <mergeCell ref="I3:J3"/>
    <mergeCell ref="A3:B3"/>
    <mergeCell ref="L22:O23"/>
    <mergeCell ref="L24:O25"/>
    <mergeCell ref="A14:D14"/>
    <mergeCell ref="A18:D18"/>
    <mergeCell ref="A20:D20"/>
    <mergeCell ref="I14:L14"/>
    <mergeCell ref="I18:L18"/>
    <mergeCell ref="I20:L20"/>
    <mergeCell ref="D22:G23"/>
    <mergeCell ref="D24:G25"/>
  </mergeCells>
  <conditionalFormatting sqref="C23">
    <cfRule type="expression" dxfId="74" priority="15">
      <formula>$C$23="KO"</formula>
    </cfRule>
    <cfRule type="expression" dxfId="73" priority="16">
      <formula>$C$23="OK"</formula>
    </cfRule>
  </conditionalFormatting>
  <conditionalFormatting sqref="C24">
    <cfRule type="expression" dxfId="72" priority="25">
      <formula>$C$24="KO"</formula>
    </cfRule>
    <cfRule type="expression" dxfId="71" priority="26">
      <formula>$C$24="OK"</formula>
    </cfRule>
  </conditionalFormatting>
  <conditionalFormatting sqref="C25">
    <cfRule type="expression" dxfId="70" priority="77">
      <formula>$C$25&gt;=$C$22</formula>
    </cfRule>
    <cfRule type="expression" dxfId="69" priority="78">
      <formula>$C$25&lt;$C$22</formula>
    </cfRule>
  </conditionalFormatting>
  <conditionalFormatting sqref="D24:G25">
    <cfRule type="expression" dxfId="68" priority="1">
      <formula>$D$24=yes</formula>
    </cfRule>
    <cfRule type="expression" dxfId="67" priority="2">
      <formula>$D$24=no</formula>
    </cfRule>
    <cfRule type="expression" dxfId="66" priority="3">
      <formula>$D$24="NA"</formula>
    </cfRule>
  </conditionalFormatting>
  <conditionalFormatting sqref="K23">
    <cfRule type="expression" dxfId="65" priority="7">
      <formula>$C$23="KO"</formula>
    </cfRule>
    <cfRule type="expression" dxfId="64" priority="8">
      <formula>$C$23="OK"</formula>
    </cfRule>
  </conditionalFormatting>
  <conditionalFormatting sqref="K24">
    <cfRule type="expression" dxfId="63" priority="9">
      <formula>$C$24="KO"</formula>
    </cfRule>
    <cfRule type="expression" dxfId="62" priority="10">
      <formula>$C$24="OK"</formula>
    </cfRule>
  </conditionalFormatting>
  <conditionalFormatting sqref="K25">
    <cfRule type="expression" dxfId="61" priority="11">
      <formula>$C$25&gt;=$C$22</formula>
    </cfRule>
    <cfRule type="expression" dxfId="60" priority="12">
      <formula>$C$25&lt;$C$22</formula>
    </cfRule>
  </conditionalFormatting>
  <conditionalFormatting sqref="L24:O25">
    <cfRule type="expression" dxfId="59" priority="4">
      <formula>$L$24=yes</formula>
    </cfRule>
    <cfRule type="expression" dxfId="58" priority="5">
      <formula>$L$24=no</formula>
    </cfRule>
    <cfRule type="expression" dxfId="57" priority="6">
      <formula>$L$24="NA"</formula>
    </cfRule>
  </conditionalFormatting>
  <printOptions horizontalCentered="1"/>
  <pageMargins left="0.71" right="0.71" top="0.75" bottom="0.75" header="0.31" footer="0.31"/>
  <pageSetup paperSize="9" orientation="landscape" horizontalDpi="300" verticalDpi="300"/>
  <headerFooter>
    <oddHeader>&amp;L&amp;"Calibri,Bold"&amp;K000000EPA - Checklist for the European Standard Parking Award</oddHeader>
    <oddFooter>&amp;L&amp;K000000[File]&amp;A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C585"/>
  <sheetViews>
    <sheetView topLeftCell="A192" workbookViewId="0">
      <selection activeCell="F4" sqref="F4:I6"/>
    </sheetView>
  </sheetViews>
  <sheetFormatPr baseColWidth="10" defaultColWidth="10.81640625" defaultRowHeight="14.5" x14ac:dyDescent="0.35"/>
  <cols>
    <col min="1" max="1" width="4.81640625" style="4" customWidth="1"/>
    <col min="2" max="2" width="51.81640625" style="4" customWidth="1"/>
    <col min="3" max="3" width="63" style="4" customWidth="1"/>
    <col min="4" max="16384" width="10.81640625" style="4"/>
  </cols>
  <sheetData>
    <row r="1" spans="1:3" ht="26.5" thickBot="1" x14ac:dyDescent="0.4">
      <c r="A1" s="181">
        <v>4</v>
      </c>
      <c r="B1" s="203" t="s">
        <v>2500</v>
      </c>
      <c r="C1" s="204" t="str">
        <f>VLOOKUP(A1,'Languages Available'!A3:B12,2)</f>
        <v>Deutsch</v>
      </c>
    </row>
    <row r="3" spans="1:3" ht="21" x14ac:dyDescent="0.35">
      <c r="A3" s="126" t="s">
        <v>2502</v>
      </c>
      <c r="B3" s="213"/>
      <c r="C3" s="127"/>
    </row>
    <row r="4" spans="1:3" x14ac:dyDescent="0.35">
      <c r="A4" s="191">
        <v>1</v>
      </c>
      <c r="B4" s="115" t="str">
        <f>'Languages Old'!D4</f>
        <v>Mandatory Minimum Conditions</v>
      </c>
      <c r="C4" s="115" t="str">
        <f>VLOOKUP(A4,'Languages Old'!$A$4:$I$273,3+$A$1)</f>
        <v>Erforderliche Mindestkriterien</v>
      </c>
    </row>
    <row r="5" spans="1:3" x14ac:dyDescent="0.35">
      <c r="A5" s="130">
        <v>2</v>
      </c>
      <c r="B5" s="116" t="str">
        <f>'Languages Old'!D5</f>
        <v>Car park must be for public use</v>
      </c>
      <c r="C5" s="116" t="str">
        <f>VLOOKUP(A5,'Languages Old'!$A$4:$I$273,3+$A$1)</f>
        <v>Die Parkeinrichtung muss öffentlich sein.</v>
      </c>
    </row>
    <row r="6" spans="1:3" ht="29" x14ac:dyDescent="0.35">
      <c r="A6" s="130">
        <v>3</v>
      </c>
      <c r="B6" s="116" t="str">
        <f>'Languages Old'!D6</f>
        <v>Minimum headroom = 1.90 m, generally in the public areas. Incidental lower obstacles must be clearly marked.</v>
      </c>
      <c r="C6" s="116" t="str">
        <f>VLOOKUP(A6,'Languages Old'!$A$4:$I$273,3+$A$1)</f>
        <v>Mindestdurchfahrtshöhe = 1,90m im öffentlich zugänglichen Bereich. Einzelne niedrigere Stellen müssen deutlich gekennzeichnet sein.</v>
      </c>
    </row>
    <row r="7" spans="1:3" ht="29" x14ac:dyDescent="0.35">
      <c r="A7" s="130">
        <v>4</v>
      </c>
      <c r="B7" s="116" t="str">
        <f>'Languages Old'!D7</f>
        <v>Minimum headroom = 2,00 m, generally in the public areas. Incidental lower obstacles must be clearly marked.</v>
      </c>
      <c r="C7" s="116" t="str">
        <f>VLOOKUP(A7,'Languages Old'!$A$4:$I$273,3+$A$1)</f>
        <v>Mindestdurchfahrtshöhe = 2,00 m im allgemein zugänglichen Bereich. Einzelne niedrigere Hindernisse müssen deutlich gekennzeichnet sein.</v>
      </c>
    </row>
    <row r="8" spans="1:3" ht="43.5" x14ac:dyDescent="0.35">
      <c r="A8" s="130">
        <v>5</v>
      </c>
      <c r="B8" s="116" t="str">
        <f>'Languages Old'!D8</f>
        <v>There must be at least one dedicated entry and exit lane although additional tidal flow lanes are allowed.</v>
      </c>
      <c r="C8" s="116" t="str">
        <f>VLOOKUP(A8,'Languages Old'!$A$4:$I$273,3+$A$1)</f>
        <v>Es muss mindestens eine getrennte Ein- und Ausfahrtsspur vorhanden sein. Zusätzliche, tageszeitlich in wechselnder Fahrtrichtung genutzte Wechselspuren sind zulässig.</v>
      </c>
    </row>
    <row r="9" spans="1:3" ht="43.5" x14ac:dyDescent="0.35">
      <c r="A9" s="130">
        <v>6</v>
      </c>
      <c r="B9" s="116" t="str">
        <f>'Languages Old'!D9</f>
        <v>70% of bays must be at least 2.30m wide. For renovated car parks, over ten years old, minimum bay width of 2.25m is allowed (in that case a penalty applies - check M8).</v>
      </c>
      <c r="C9" s="116" t="str">
        <f>VLOOKUP(A9,'Languages Old'!$A$4:$I$273,3+$A$1)</f>
        <v>70% der Stellplätze müssen zumindest 2,30m breit sein. Für renovierte Betriebe, die über 10 Jahre alt sind, beträgt die Mindestbreite 2,25 m ( in diesem Fall kommt ein Punkteabzug zur Anwendung - siehe M8)</v>
      </c>
    </row>
    <row r="10" spans="1:3" x14ac:dyDescent="0.35">
      <c r="A10" s="130">
        <v>7</v>
      </c>
      <c r="B10" s="116" t="str">
        <f>'Languages Old'!D10</f>
        <v>70% of bays must be at least 2.40m wide.</v>
      </c>
      <c r="C10" s="116" t="str">
        <f>VLOOKUP(A10,'Languages Old'!$A$4:$I$273,3+$A$1)</f>
        <v>70% der Stellplätze müssen mindestens 2,40 m breit sein.</v>
      </c>
    </row>
    <row r="11" spans="1:3" ht="58" x14ac:dyDescent="0.35">
      <c r="A11" s="130">
        <v>8</v>
      </c>
      <c r="B11" s="116" t="str">
        <f>'Languages Old'!D11</f>
        <v>All straight ramps for  unidirectional traffic must be minimum 2.7 metres wide. Bidirectional ramps must be at least 6m wide with lane markings. Ramp width is measured between walls or pillars</v>
      </c>
      <c r="C11" s="116" t="str">
        <f>VLOOKUP(A11,'Languages Old'!$A$4:$I$273,3+$A$1)</f>
        <v>Alle geraden Rampen mit Einbahnverkehr müssen mindestens 2,70 m breit sein. Rampen mit Gegenverkehr müssen mindestens 6,00 m breit sein und eine Fahrbahnmarkierung aufweisen. Die Messung erfolgt zwischen den Wänden oder Säulen.</v>
      </c>
    </row>
    <row r="12" spans="1:3" ht="72.5" x14ac:dyDescent="0.35">
      <c r="A12" s="130">
        <v>9</v>
      </c>
      <c r="B12" s="116" t="str">
        <f>'Languages Old'!D12</f>
        <v xml:space="preserve">Curved ramps for single directional traffic must have an external radius of minimum 8.00 metres with lane width of minimum 3.5 metres. For bidirectional curved ramps this applies for the inner driving lane. The outside driving lane must be minimum 3.5 metres wide as well. </v>
      </c>
      <c r="C12" s="116" t="str">
        <f>VLOOKUP(A12,'Languages Old'!$A$4:$I$273,3+$A$1)</f>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row>
    <row r="13" spans="1:3" ht="43.5" x14ac:dyDescent="0.35">
      <c r="A13" s="130">
        <v>10</v>
      </c>
      <c r="B13" s="116" t="str">
        <f>'Languages Old'!D13</f>
        <v>Ramp gradients must not exceed 20% , to be measured at the middle of driving lane.  At bidirectional curved ramps this applies for the inner (steepest) driving lane.</v>
      </c>
      <c r="C13" s="116" t="str">
        <f>VLOOKUP(A13,'Languages Old'!$A$4:$I$273,3+$A$1)</f>
        <v>Rampen dürfen eine Steigung von 20% nicht überschreiten. Die Messung erfolgt in der Mitte der Fahrspur. Bei gekrümmten Rampen mit Gegenverkehr gilt das für die innere (steilste) Spur.</v>
      </c>
    </row>
    <row r="14" spans="1:3" ht="43.5" x14ac:dyDescent="0.35">
      <c r="A14" s="130">
        <v>11</v>
      </c>
      <c r="B14" s="116" t="str">
        <f>'Languages Old'!D14</f>
        <v>If the car park has paid parking and access control by barriers or gates, staff must be contactable at the pay point/exit point and secured pedestrian entries.</v>
      </c>
      <c r="C14" s="116" t="str">
        <f>VLOOKUP(A14,'Languages Old'!$A$4:$I$273,3+$A$1)</f>
        <v>Wenn der Parkbetrieb entgeltlich geführt wird und die Bewirtschaftung über Schrankensysteme oder Tore erfolgt, muss Personal an den Bezahl-, Ausfahrts- und Zugangspunkten erreichbar sein.</v>
      </c>
    </row>
    <row r="15" spans="1:3" ht="29" x14ac:dyDescent="0.35">
      <c r="A15" s="130">
        <v>12</v>
      </c>
      <c r="B15" s="116" t="str">
        <f>'Languages Old'!D15</f>
        <v>Receipt for payment must be provided when requested.</v>
      </c>
      <c r="C15" s="116" t="str">
        <f>VLOOKUP(A15,'Languages Old'!$A$4:$I$273,3+$A$1)</f>
        <v>Eine Quittung muss (zumindest) auf Kundenanforderung ausgegeben werden.</v>
      </c>
    </row>
    <row r="16" spans="1:3" ht="43.5" x14ac:dyDescent="0.35">
      <c r="A16" s="130">
        <v>13</v>
      </c>
      <c r="B16" s="116" t="str">
        <f>'Languages Old'!D16</f>
        <v>All turning movements must be capable of being completed without reversing (moving in/out the parking bay and cul-de-sacs excluded)</v>
      </c>
      <c r="C16" s="116" t="str">
        <f>VLOOKUP(A16,'Languages Old'!$A$4:$I$273,3+$A$1)</f>
        <v>Alle Fahrmanöver müssen ohne Zurücksetzen des Fahrzeugs möglich sein. Ausnahmen sind Ein- und Ausparkmanöver oder Sackgassen.</v>
      </c>
    </row>
    <row r="17" spans="1:3" ht="29" x14ac:dyDescent="0.35">
      <c r="A17" s="130">
        <v>14</v>
      </c>
      <c r="B17" s="116" t="str">
        <f>'Languages Old'!D17</f>
        <v>Average light levels on parking area at floor is at minimum 20 Lux</v>
      </c>
      <c r="C17" s="116" t="str">
        <f>VLOOKUP(A17,'Languages Old'!$A$4:$I$273,3+$A$1)</f>
        <v>Die durchschnittliche Ausleuchtung der Parkfläche (am Boden gemessen) beträgt mind. 20 Lux.</v>
      </c>
    </row>
    <row r="18" spans="1:3" ht="29" x14ac:dyDescent="0.35">
      <c r="A18" s="130">
        <v>15</v>
      </c>
      <c r="B18" s="116" t="str">
        <f>'Languages Old'!D18</f>
        <v>Average light levels on parking area at floor is at minimum 50 Lux</v>
      </c>
      <c r="C18" s="116" t="str">
        <f>VLOOKUP(A18,'Languages Old'!$A$4:$I$273,3+$A$1)</f>
        <v>Die durchschnittliche Ausleuchtung der Parkfläche (am Boden gemessen) beträgt mind. 50 Lux.</v>
      </c>
    </row>
    <row r="19" spans="1:3" x14ac:dyDescent="0.35">
      <c r="A19" s="130">
        <v>16</v>
      </c>
      <c r="B19" s="116" t="str">
        <f>'Languages Old'!D19</f>
        <v>Lighting</v>
      </c>
      <c r="C19" s="116" t="str">
        <f>VLOOKUP(A19,'Languages Old'!$A$4:$I$273,3+$A$1)</f>
        <v>Beleuchtung</v>
      </c>
    </row>
    <row r="20" spans="1:3" ht="29" x14ac:dyDescent="0.35">
      <c r="A20" s="130">
        <v>17</v>
      </c>
      <c r="B20" s="116" t="str">
        <f>'Languages Old'!D20</f>
        <v>Item List (values in Lux, see user manual for measurement)</v>
      </c>
      <c r="C20" s="116" t="str">
        <f>VLOOKUP(A20,'Languages Old'!$A$4:$I$273,3+$A$1)</f>
        <v>Positionsliste (Werte in Lux, bezüglich der Messungen siehe Benutzungsanleitung)</v>
      </c>
    </row>
    <row r="21" spans="1:3" ht="58" x14ac:dyDescent="0.35">
      <c r="A21" s="130">
        <v>18</v>
      </c>
      <c r="B21" s="116" t="str">
        <f>'Languages Old'!D21</f>
        <v>Vehicular entry area; at floor level
•  Above 200 Lux = 5;
•  Between 75– 200 Lux: 0,04 pt per Lux over 75  
•  Below 75 Lux = 0</v>
      </c>
      <c r="C21" s="116" t="str">
        <f>VLOOKUP(A21,'Languages Old'!$A$4:$I$273,3+$A$1)</f>
        <v>Einfahrtsbereich; Messung am Boden
•  Über 200 Lux = 5;
•  Zwischen 75 - 200 Lux = 0,04 pt pro Lux über 75  
•  Unter 75 Lux = 0</v>
      </c>
    </row>
    <row r="22" spans="1:3" ht="58" x14ac:dyDescent="0.35">
      <c r="A22" s="130">
        <v>19</v>
      </c>
      <c r="B22" s="116" t="str">
        <f>'Languages Old'!D22</f>
        <v>Entry; at 1 m height near ticket-machine
•  Above 200 Lux = 3;
•  Between100– 200 Lux: 0,03 pt per Lux over 100
•  Below 100 Lux = 0</v>
      </c>
      <c r="C22" s="116" t="str">
        <f>VLOOKUP(A22,'Languages Old'!$A$4:$I$273,3+$A$1)</f>
        <v>Einfahrt; in 1 m Höhe neben dem Ticketgeber
•  Über 200 Lux = 3;
•  Zwischen 100 - 200 Lux = 0,03 pt pro Lux über 100
•  Unter 100 Lux = 0</v>
      </c>
    </row>
    <row r="23" spans="1:3" ht="58" x14ac:dyDescent="0.35">
      <c r="A23" s="130">
        <v>20</v>
      </c>
      <c r="B23" s="116" t="str">
        <f>'Languages Old'!D23</f>
        <v>Exit; at 1 m height near barrier/ticket-machine
•  Above 200 Lux = 3;
•  Between100– 200 Lux: 0,03 pt per Lux over 100
•  Below 100 Lux= 0</v>
      </c>
      <c r="C23" s="116" t="str">
        <f>VLOOKUP(A23,'Languages Old'!$A$4:$I$273,3+$A$1)</f>
        <v>Ausfahrt; in 1 m Höhe neben der Ausfahrtssäule
•  Über 200 Lux = 3;
•  Zwischen 100 - 200 Lux = 0,03 pt pro Lux über 100
•  Unter 100 Lux = 0</v>
      </c>
    </row>
    <row r="24" spans="1:3" ht="87" x14ac:dyDescent="0.35">
      <c r="A24" s="130">
        <v>21</v>
      </c>
      <c r="B24" s="116" t="str">
        <f>'Languages Old'!D24</f>
        <v>At pay-machine; at 1 m height
•  Above 200 Lux =4;
•  Between100– 200 Lux: 0,04 pt per Lux over 100
•  Below 100 Lux= 0;
•  No Pay Machines : same as exit (enter zero if this is the case)</v>
      </c>
      <c r="C24" s="116" t="str">
        <f>VLOOKUP(A24,'Languages Old'!$A$4:$I$273,3+$A$1)</f>
        <v>Am Bezahlautomaten; in 1 m Höhe
•  Über 200 Lux = 4;
•  Zwischen 100 - 200 Lux = 0,04 pt pro Lux über 100
•  Unter 100 Lux = 0;
•  Kein Bezahlautomat = wie Ausfahrt (in diesem Fall "0" eingeben)</v>
      </c>
    </row>
    <row r="25" spans="1:3" ht="72.5" x14ac:dyDescent="0.35">
      <c r="A25" s="130">
        <v>22</v>
      </c>
      <c r="B25" s="116" t="str">
        <f>'Languages Old'!D25</f>
        <v>At cashier; at counter height
•  Above 200 Lux =4;
•  Between100– 200 Lux: 0,04 pt per Lux over 100
•  Below 100 Lux= 0;
•  No cashier = 3 (enter zero if this is the case)</v>
      </c>
      <c r="C25" s="116" t="str">
        <f>VLOOKUP(A25,'Languages Old'!$A$4:$I$273,3+$A$1)</f>
        <v>An der Kasse; in Höhe des Kundenschalters
•  Über 200 Lux = 4;
•  Zwischen 100 - 200 Lux = 0,04 pt pro Lux über 100
•  Unter 100 Lux = 0;
•  Keine Kassenstation = 3  (in diesem Fall "0" eingeben)</v>
      </c>
    </row>
    <row r="26" spans="1:3" ht="87" x14ac:dyDescent="0.35">
      <c r="A26" s="130">
        <v>23</v>
      </c>
      <c r="B26" s="116" t="str">
        <f>'Languages Old'!D26</f>
        <v>In elevator; at floor level
•  Above 70 Lux = 4;
•  Between30– 70 Lux: 0,1 pt per Lux over 30
•  Below 30 Lux = 0;
•  Single level without elevator = 3 (enter zero if this is the case)</v>
      </c>
      <c r="C26" s="116" t="str">
        <f>VLOOKUP(A26,'Languages Old'!$A$4:$I$273,3+$A$1)</f>
        <v>Im Aufzug; gesmessen am Boden
•  Über 70 Lux = 4;
•  Zwischen 30 - 70 Lux = 0,1 pt pro Lux über 30
•  Unter 30 Lux = 0;
•  Nur eine Parkebene ohne Aufzug = 3 (in diesem Fall "0" eingeben)</v>
      </c>
    </row>
    <row r="27" spans="1:3" ht="72.5" x14ac:dyDescent="0.35">
      <c r="A27" s="130">
        <v>24</v>
      </c>
      <c r="B27" s="116" t="str">
        <f>'Languages Old'!D27</f>
        <v>In staircases and all other exclusive pedestrian routes; at floor level
•  Above 90 Lux = 3;
•  Between30– 90 Lux: 0,05 pt per Lux over 30
•  Below 30 Lux = 0;</v>
      </c>
      <c r="C27" s="116" t="str">
        <f>VLOOKUP(A27,'Languages Old'!$A$4:$I$273,3+$A$1)</f>
        <v>In Treppenhäusern und allen Fußgängerbereichen; gemessen am Boden
•  Über 90 Lux = 3;
•  Zwischen 30 - 90 Lux = 0,05 pt pro Lux über 30
•  Unter 30 Lux = 0;</v>
      </c>
    </row>
    <row r="28" spans="1:3" ht="87" x14ac:dyDescent="0.35">
      <c r="A28" s="130">
        <v>25</v>
      </c>
      <c r="B28" s="116" t="str">
        <f>'Languages Old'!D28</f>
        <v>Light levels on parking area at floor level: (plesase fill grid below) 
Average light level of grid:
•  Above 100 Lux= 10;
•  Between20– 100 Lux: 0,125 pt per Lux over 20 
•  Below 20 Lux= 0</v>
      </c>
      <c r="C28" s="116" t="str">
        <f>VLOOKUP(A28,'Languages Old'!$A$4:$I$273,3+$A$1)</f>
        <v>Ausleuchtung der Parkfläche; gemessen am Boden: (Bitte die Tabelle ausfüllen) 
Durchschnittliche Ausleuchtung des Bereichs:
•  Über 100 Lux= 10;
•  Zwischen 20– 100 Lux: 0,125 pt pro Lux über 20 
•  Unter 20 Lux= 0</v>
      </c>
    </row>
    <row r="29" spans="1:3" ht="58" x14ac:dyDescent="0.35">
      <c r="A29" s="130">
        <v>26</v>
      </c>
      <c r="B29" s="116" t="str">
        <f>'Languages Old'!D29</f>
        <v>Uniformity of light levels in grid as standard deviation
•  Under 25% of avg light level = 10;
•  Between25– 50%: 0,4 pt per % under 50%
•  Above 50% =  0</v>
      </c>
      <c r="C29" s="116" t="str">
        <f>VLOOKUP(A29,'Languages Old'!$A$4:$I$273,3+$A$1)</f>
        <v>Gleichmäßigkeit der Ausleuchtung (Standardabweichung)
•  Unter 25% vom Durchschnitt = 10;
•  Zwischen 25 - 50% = 0,4 pt pro % unter 50%
•  Über 50% =  0</v>
      </c>
    </row>
    <row r="30" spans="1:3" x14ac:dyDescent="0.35">
      <c r="A30" s="130">
        <v>27</v>
      </c>
      <c r="B30" s="116" t="str">
        <f>'Languages Old'!D30</f>
        <v>Auxiliary Grid for 2.8</v>
      </c>
      <c r="C30" s="116" t="str">
        <f>VLOOKUP(A30,'Languages Old'!$A$4:$I$273,3+$A$1)</f>
        <v>Hilfsbereich für 2.8</v>
      </c>
    </row>
    <row r="31" spans="1:3" x14ac:dyDescent="0.35">
      <c r="A31" s="130">
        <v>28</v>
      </c>
      <c r="B31" s="116" t="str">
        <f>'Languages Old'!D31</f>
        <v>end of parking space under/between light fitting</v>
      </c>
      <c r="C31" s="116" t="str">
        <f>VLOOKUP(A31,'Languages Old'!$A$4:$I$273,3+$A$1)</f>
        <v>Ende des Stellplatzes unter / zwischen Leuchtmittel</v>
      </c>
    </row>
    <row r="32" spans="1:3" x14ac:dyDescent="0.35">
      <c r="A32" s="130">
        <v>29</v>
      </c>
      <c r="B32" s="116" t="str">
        <f>'Languages Old'!D32</f>
        <v>halfway parking space under/between light fitting</v>
      </c>
      <c r="C32" s="116" t="str">
        <f>VLOOKUP(A32,'Languages Old'!$A$4:$I$273,3+$A$1)</f>
        <v>Mitte des Stellplatzes unter / zwischen Leuchtmittel</v>
      </c>
    </row>
    <row r="33" spans="1:3" x14ac:dyDescent="0.35">
      <c r="A33" s="130">
        <v>30</v>
      </c>
      <c r="B33" s="116" t="str">
        <f>'Languages Old'!D33</f>
        <v>edge of driveway under/between light fitting</v>
      </c>
      <c r="C33" s="116" t="str">
        <f>VLOOKUP(A33,'Languages Old'!$A$4:$I$273,3+$A$1)</f>
        <v>Fahrbahnrand unter / zwischen Leuchtmittel</v>
      </c>
    </row>
    <row r="34" spans="1:3" x14ac:dyDescent="0.35">
      <c r="A34" s="130">
        <v>31</v>
      </c>
      <c r="B34" s="116" t="str">
        <f>'Languages Old'!D34</f>
        <v>center of driveway under/between light fitting</v>
      </c>
      <c r="C34" s="116" t="str">
        <f>VLOOKUP(A34,'Languages Old'!$A$4:$I$273,3+$A$1)</f>
        <v>Fahrbahnmitte unter / zwischen Leuchtmittel</v>
      </c>
    </row>
    <row r="35" spans="1:3" x14ac:dyDescent="0.35">
      <c r="A35" s="130">
        <v>32</v>
      </c>
      <c r="B35" s="116" t="str">
        <f>'Languages Old'!D35</f>
        <v>other edge of driveway under/between light fitting</v>
      </c>
      <c r="C35" s="116" t="str">
        <f>VLOOKUP(A35,'Languages Old'!$A$4:$I$273,3+$A$1)</f>
        <v>Gegenüberliegender Fahrbahnrand unter / zwischen Leuchtmittel</v>
      </c>
    </row>
    <row r="36" spans="1:3" x14ac:dyDescent="0.35">
      <c r="A36" s="130">
        <v>33</v>
      </c>
      <c r="B36" s="116" t="str">
        <f>'Languages Old'!D36</f>
        <v>Car Entry / Car Exit</v>
      </c>
      <c r="C36" s="116" t="str">
        <f>VLOOKUP(A36,'Languages Old'!$A$4:$I$273,3+$A$1)</f>
        <v>Einfahrt / Ausfahrt</v>
      </c>
    </row>
    <row r="37" spans="1:3" x14ac:dyDescent="0.35">
      <c r="A37" s="130">
        <v>34</v>
      </c>
      <c r="B37" s="116" t="str">
        <f>'Languages Old'!D37</f>
        <v>Car park headroom limit identified at entrance</v>
      </c>
      <c r="C37" s="116" t="str">
        <f>VLOOKUP(A37,'Languages Old'!$A$4:$I$273,3+$A$1)</f>
        <v>Max. Durchfahrtshöhe ist an der Einfahrt angegeben</v>
      </c>
    </row>
    <row r="38" spans="1:3" x14ac:dyDescent="0.35">
      <c r="A38" s="130">
        <v>35</v>
      </c>
      <c r="B38" s="116" t="str">
        <f>'Languages Old'!D38</f>
        <v>Correct sign at entrance</v>
      </c>
      <c r="C38" s="116" t="str">
        <f>VLOOKUP(A38,'Languages Old'!$A$4:$I$273,3+$A$1)</f>
        <v>Korrekte Einfahrtsbeschilderung</v>
      </c>
    </row>
    <row r="39" spans="1:3" x14ac:dyDescent="0.35">
      <c r="A39" s="130">
        <v>36</v>
      </c>
      <c r="B39" s="116" t="str">
        <f>'Languages Old'!D39</f>
        <v>Height barrier</v>
      </c>
      <c r="C39" s="116" t="str">
        <f>VLOOKUP(A39,'Languages Old'!$A$4:$I$273,3+$A$1)</f>
        <v xml:space="preserve">Höhenkontrollbalken </v>
      </c>
    </row>
    <row r="40" spans="1:3" x14ac:dyDescent="0.35">
      <c r="A40" s="130">
        <v>37</v>
      </c>
      <c r="B40" s="116" t="str">
        <f>'Languages Old'!D40</f>
        <v>Rubber lip to prevent damage</v>
      </c>
      <c r="C40" s="116" t="str">
        <f>VLOOKUP(A40,'Languages Old'!$A$4:$I$273,3+$A$1)</f>
        <v>Gummilippe , um Schaden zu verhindern (ja=1, nein=0)</v>
      </c>
    </row>
    <row r="41" spans="1:3" ht="43.5" x14ac:dyDescent="0.35">
      <c r="A41" s="130">
        <v>38</v>
      </c>
      <c r="B41" s="116" t="str">
        <f>'Languages Old'!D41</f>
        <v>Height:
(The car park should receive one point for each 10cm of height above 1.90m up to 2.20 m)</v>
      </c>
      <c r="C41" s="116" t="str">
        <f>VLOOKUP(A41,'Languages Old'!$A$4:$I$273,3+$A$1)</f>
        <v>Durchfahrtshöhe:
(ein zusätzlicher Punkt je 10 cm über 1,90 m bis 2,20 m)</v>
      </c>
    </row>
    <row r="42" spans="1:3" ht="58" x14ac:dyDescent="0.35">
      <c r="A42" s="130">
        <v>39</v>
      </c>
      <c r="B42" s="116" t="str">
        <f>'Languages Old'!D42</f>
        <v>Traffic signs to define limitations in use of facility.
• Clear signing = 3
• Incomplete signing = 2
• No signing = 0)</v>
      </c>
      <c r="C42" s="116" t="str">
        <f>VLOOKUP(A42,'Languages Old'!$A$4:$I$273,3+$A$1)</f>
        <v>Verkehrsleitsystem weist auf Benutzungseinschränkungen hin.
• klare Ausschilderung = 3
• teilweise Ausschilderung = 2
• keine Ausschilderung = 0</v>
      </c>
    </row>
    <row r="43" spans="1:3" x14ac:dyDescent="0.35">
      <c r="A43" s="130">
        <v>40</v>
      </c>
      <c r="B43" s="116" t="str">
        <f>'Languages Old'!D43</f>
        <v>Information on:</v>
      </c>
      <c r="C43" s="116" t="str">
        <f>VLOOKUP(A43,'Languages Old'!$A$4:$I$273,3+$A$1)</f>
        <v>Informationen zu:</v>
      </c>
    </row>
    <row r="44" spans="1:3" x14ac:dyDescent="0.35">
      <c r="A44" s="130">
        <v>41</v>
      </c>
      <c r="B44" s="116" t="str">
        <f>'Languages Old'!D44</f>
        <v>Operators terms &amp; conditions within the car park:</v>
      </c>
      <c r="C44" s="116" t="str">
        <f>VLOOKUP(A44,'Languages Old'!$A$4:$I$273,3+$A$1)</f>
        <v>Nutzungs- und Einstellbedingungen des Betreibers</v>
      </c>
    </row>
    <row r="45" spans="1:3" x14ac:dyDescent="0.35">
      <c r="A45" s="130">
        <v>42</v>
      </c>
      <c r="B45" s="116" t="str">
        <f>'Languages Old'!D45</f>
        <v>Daily opening hours:</v>
      </c>
      <c r="C45" s="116" t="str">
        <f>VLOOKUP(A45,'Languages Old'!$A$4:$I$273,3+$A$1)</f>
        <v>Tägliche Öffnungszeiten</v>
      </c>
    </row>
    <row r="46" spans="1:3" x14ac:dyDescent="0.35">
      <c r="A46" s="130">
        <v>43</v>
      </c>
      <c r="B46" s="116" t="str">
        <f>'Languages Old'!D46</f>
        <v>Scale of tariffs:</v>
      </c>
      <c r="C46" s="116" t="str">
        <f>VLOOKUP(A46,'Languages Old'!$A$4:$I$273,3+$A$1)</f>
        <v>Tarifauszeichnung</v>
      </c>
    </row>
    <row r="47" spans="1:3" x14ac:dyDescent="0.35">
      <c r="A47" s="130">
        <v>44</v>
      </c>
      <c r="B47" s="116" t="str">
        <f>'Languages Old'!D47</f>
        <v>Readibility of tariff system:</v>
      </c>
      <c r="C47" s="116" t="str">
        <f>VLOOKUP(A47,'Languages Old'!$A$4:$I$273,3+$A$1)</f>
        <v>Lesbarkeit der Tarifauszeichnung</v>
      </c>
    </row>
    <row r="48" spans="1:3" x14ac:dyDescent="0.35">
      <c r="A48" s="130">
        <v>45</v>
      </c>
      <c r="B48" s="116" t="str">
        <f>'Languages Old'!D48</f>
        <v>Design entry/exit area</v>
      </c>
      <c r="C48" s="116" t="str">
        <f>VLOOKUP(A48,'Languages Old'!$A$4:$I$273,3+$A$1)</f>
        <v>Gestaltung des Ein-/Ausfahrtsbereiches</v>
      </c>
    </row>
    <row r="49" spans="1:3" x14ac:dyDescent="0.35">
      <c r="A49" s="130">
        <v>46</v>
      </c>
      <c r="B49" s="116" t="str">
        <f>'Languages Old'!D49</f>
        <v>Entry ticket- machine easy to reach:</v>
      </c>
      <c r="C49" s="116" t="str">
        <f>VLOOKUP(A49,'Languages Old'!$A$4:$I$273,3+$A$1)</f>
        <v>Einfahrt: Gute Erreichbarkeit des Ticketgebers:</v>
      </c>
    </row>
    <row r="50" spans="1:3" x14ac:dyDescent="0.35">
      <c r="A50" s="130">
        <v>47</v>
      </c>
      <c r="B50" s="116" t="str">
        <f>'Languages Old'!D50</f>
        <v>Exit ticket- machine easy to reach:</v>
      </c>
      <c r="C50" s="116" t="str">
        <f>VLOOKUP(A50,'Languages Old'!$A$4:$I$273,3+$A$1)</f>
        <v>Ausfahrt: Gute Erreichbarkeit des Ticketlesers:</v>
      </c>
    </row>
    <row r="51" spans="1:3" x14ac:dyDescent="0.35">
      <c r="A51" s="130">
        <v>48</v>
      </c>
      <c r="B51" s="116" t="str">
        <f>'Languages Old'!D51</f>
        <v>Longitudinal slope at the ticket machines</v>
      </c>
      <c r="C51" s="116" t="str">
        <f>VLOOKUP(A51,'Languages Old'!$A$4:$I$273,3+$A$1)</f>
        <v>Längsneigung bei den Ein- / Ausfahrtsterminals</v>
      </c>
    </row>
    <row r="52" spans="1:3" ht="58" x14ac:dyDescent="0.35">
      <c r="A52" s="130">
        <v>49</v>
      </c>
      <c r="B52" s="116" t="str">
        <f>'Languages Old'!D52</f>
        <v>Entry lane:
• 0-2% (car doesn’t move without brake) = 1
• 2-5% = 0
• Above 5% = -1</v>
      </c>
      <c r="C52" s="116" t="str">
        <f>VLOOKUP(A52,'Languages Old'!$A$4:$I$273,3+$A$1)</f>
        <v>Einfahrt:
• 0 - 2% (Fahrzeug bewegt sich ungebremst nicht) = 1
• 2 - 5% = 0
• Über 5% = -1</v>
      </c>
    </row>
    <row r="53" spans="1:3" ht="58" x14ac:dyDescent="0.35">
      <c r="A53" s="130">
        <v>50</v>
      </c>
      <c r="B53" s="116" t="str">
        <f>'Languages Old'!D53</f>
        <v>Exit lane:
• 0-2% (car doesn’t move without brake) = 1
• 2-5% = 0
• Above 5% = -1</v>
      </c>
      <c r="C53" s="116" t="str">
        <f>VLOOKUP(A53,'Languages Old'!$A$4:$I$273,3+$A$1)</f>
        <v>Ausfahrt:
• 0 - 2% (Fahrzeug bewegt sich ungebremst nicht) = 1
• 2 - 5% = 0
• Über 5% = -1</v>
      </c>
    </row>
    <row r="54" spans="1:3" ht="43.5" x14ac:dyDescent="0.35">
      <c r="A54" s="130">
        <v>51</v>
      </c>
      <c r="B54" s="116" t="str">
        <f>'Languages Old'!D54</f>
        <v>Kerb design to avoid damage to average vehicle’s wheels:
(Yes = 2, No protection = 0, No kerbs in entry/exit area = 2)</v>
      </c>
      <c r="C54" s="116" t="str">
        <f>VLOOKUP(A54,'Languages Old'!$A$4:$I$273,3+$A$1)</f>
        <v>Design der Schrammborde, um Schaden an den Fahrzeugrädern zu verhindern:
(Ja = 2, kein Schutz = 0, keine Schrammborde in Ein-/Ausfahrt = 2)</v>
      </c>
    </row>
    <row r="55" spans="1:3" ht="29" x14ac:dyDescent="0.35">
      <c r="A55" s="130">
        <v>52</v>
      </c>
      <c r="B55" s="116" t="str">
        <f>'Languages Old'!D55</f>
        <v>Anti slip surfaces access/egress ramps:
(Anti slip = 1, Slippery when wet = 0)</v>
      </c>
      <c r="C55" s="116" t="str">
        <f>VLOOKUP(A55,'Languages Old'!$A$4:$I$273,3+$A$1)</f>
        <v>Rutschfeste Oberfläche in der Ein- und Ausfahrt: (vorhanden = 1, Rutschgefahr bei Nässe= 0)</v>
      </c>
    </row>
    <row r="56" spans="1:3" x14ac:dyDescent="0.35">
      <c r="A56" s="130">
        <v>53</v>
      </c>
      <c r="B56" s="116" t="str">
        <f>'Languages Old'!D56</f>
        <v>Access security</v>
      </c>
      <c r="C56" s="116" t="str">
        <f>VLOOKUP(A56,'Languages Old'!$A$4:$I$273,3+$A$1)</f>
        <v>Zufahrtskontrolle</v>
      </c>
    </row>
    <row r="57" spans="1:3" x14ac:dyDescent="0.35">
      <c r="A57" s="130">
        <v>54</v>
      </c>
      <c r="B57" s="116" t="str">
        <f>'Languages Old'!D57</f>
        <v>Barrier</v>
      </c>
      <c r="C57" s="116" t="str">
        <f>VLOOKUP(A57,'Languages Old'!$A$4:$I$273,3+$A$1)</f>
        <v>Schranken</v>
      </c>
    </row>
    <row r="58" spans="1:3" x14ac:dyDescent="0.35">
      <c r="A58" s="130">
        <v>55</v>
      </c>
      <c r="B58" s="116" t="str">
        <f>'Languages Old'!D58</f>
        <v>Intercom</v>
      </c>
      <c r="C58" s="116" t="str">
        <f>VLOOKUP(A58,'Languages Old'!$A$4:$I$273,3+$A$1)</f>
        <v>Sprechstelle</v>
      </c>
    </row>
    <row r="59" spans="1:3" x14ac:dyDescent="0.35">
      <c r="A59" s="130">
        <v>56</v>
      </c>
      <c r="B59" s="116" t="str">
        <f>'Languages Old'!D59</f>
        <v>CCTV</v>
      </c>
      <c r="C59" s="116" t="str">
        <f>VLOOKUP(A59,'Languages Old'!$A$4:$I$273,3+$A$1)</f>
        <v>Videoüberwachung</v>
      </c>
    </row>
    <row r="60" spans="1:3" x14ac:dyDescent="0.35">
      <c r="A60" s="130">
        <v>57</v>
      </c>
      <c r="B60" s="116" t="str">
        <f>'Languages Old'!D60</f>
        <v>Licence Plate Recognition</v>
      </c>
      <c r="C60" s="116" t="str">
        <f>VLOOKUP(A60,'Languages Old'!$A$4:$I$273,3+$A$1)</f>
        <v>Kennzeichenerkennung</v>
      </c>
    </row>
    <row r="61" spans="1:3" x14ac:dyDescent="0.35">
      <c r="A61" s="130">
        <v>58</v>
      </c>
      <c r="B61" s="116" t="str">
        <f>'Languages Old'!D61</f>
        <v>Full height fast closing gates</v>
      </c>
      <c r="C61" s="116" t="str">
        <f>VLOOKUP(A61,'Languages Old'!$A$4:$I$273,3+$A$1)</f>
        <v>Schnelllauftore</v>
      </c>
    </row>
    <row r="62" spans="1:3" x14ac:dyDescent="0.35">
      <c r="A62" s="130">
        <v>59</v>
      </c>
      <c r="B62" s="116" t="str">
        <f>'Languages Old'!D62</f>
        <v>Staffed access(Entry or exit)</v>
      </c>
      <c r="C62" s="116" t="str">
        <f>VLOOKUP(A62,'Languages Old'!$A$4:$I$273,3+$A$1)</f>
        <v>Personal vor Ort (Ein- oder Ausfahrt)</v>
      </c>
    </row>
    <row r="63" spans="1:3" ht="43.5" x14ac:dyDescent="0.35">
      <c r="A63" s="130">
        <v>60</v>
      </c>
      <c r="B63" s="116" t="str">
        <f>'Languages Old'!D63</f>
        <v>Entry/Exit of the building: width between structure (per lane)
(&lt; 3 m =0, 3 – 3.3 m =1, &gt; 3.3 m = 2)</v>
      </c>
      <c r="C63" s="116" t="str">
        <f>VLOOKUP(A63,'Languages Old'!$A$4:$I$273,3+$A$1)</f>
        <v>Ein- / Ausfahrtsbreiten: Durchfahrtsbreite zwischen Bauteilen/Schrammborden pro Spur (&lt; 3 m = 0; 3 - 3,30 m = 1; &gt; 3,30 m = 2)</v>
      </c>
    </row>
    <row r="64" spans="1:3" ht="29" x14ac:dyDescent="0.35">
      <c r="A64" s="130">
        <v>61</v>
      </c>
      <c r="B64" s="116" t="str">
        <f>'Languages Old'!D64</f>
        <v>Exit: exit slope ends at least 5 meters before crossing traffic (pedestrians/cyclists):</v>
      </c>
      <c r="C64" s="116" t="str">
        <f>VLOOKUP(A64,'Languages Old'!$A$4:$I$273,3+$A$1)</f>
        <v>Ausfahrt: Ausfahrtsspur endet mindestens 5 m vor Querverkehr (Fußgänger, Radfahrer):</v>
      </c>
    </row>
    <row r="65" spans="1:3" x14ac:dyDescent="0.35">
      <c r="A65" s="130">
        <v>62</v>
      </c>
      <c r="B65" s="116" t="str">
        <f>'Languages Old'!D65</f>
        <v>subtotal  car entry/exit</v>
      </c>
      <c r="C65" s="116">
        <f>VLOOKUP(A65,'Languages Old'!$A$4:$I$273,3+$A$1)</f>
        <v>0</v>
      </c>
    </row>
    <row r="66" spans="1:3" x14ac:dyDescent="0.35">
      <c r="A66" s="130">
        <v>63</v>
      </c>
      <c r="B66" s="116" t="str">
        <f>'Languages Old'!D66</f>
        <v>Parking Area</v>
      </c>
      <c r="C66" s="116" t="str">
        <f>VLOOKUP(A66,'Languages Old'!$A$4:$I$273,3+$A$1)</f>
        <v>Parkebenen</v>
      </c>
    </row>
    <row r="67" spans="1:3" ht="72.5" x14ac:dyDescent="0.35">
      <c r="A67" s="130">
        <v>64</v>
      </c>
      <c r="B67" s="116" t="str">
        <f>'Languages Old'!D67</f>
        <v>Pillar placement for at least 85% of bays:
• does not intrude into the parking area = 8 
• at beginning of stall = 0
• next to car door = 0
• at back of stall but intrudes into the parking area = 4</v>
      </c>
      <c r="C67" s="116" t="str">
        <f>VLOOKUP(A67,'Languages Old'!$A$4:$I$273,3+$A$1)</f>
        <v>Stützen im Bereich von mindestens 85 % der Stellplätze:
(keine Beeinträchtigung des Stellplätze = 8, am Beginn der Stellplätze = 0, nahe der Fahrzeugtür = 0, am Ende aber mit Beeinträchtigung des Stellplatzes = 4)</v>
      </c>
    </row>
    <row r="68" spans="1:3" ht="29" x14ac:dyDescent="0.35">
      <c r="A68" s="130">
        <v>65</v>
      </c>
      <c r="B68" s="116" t="str">
        <f>'Languages Old'!D68</f>
        <v>Visibility (many/few dead corners, walls in the car park etc.)
Good=4, Medium=2 or Bad=0</v>
      </c>
      <c r="C68" s="116" t="str">
        <f>VLOOKUP(A68,'Languages Old'!$A$4:$I$273,3+$A$1)</f>
        <v>Übersichtlichkeit (viele/wenige tote Winkel, Wände in der Parkebene,etc.)
gut=4, mittel=2, schlecht=0</v>
      </c>
    </row>
    <row r="69" spans="1:3" x14ac:dyDescent="0.35">
      <c r="A69" s="130">
        <v>66</v>
      </c>
      <c r="B69" s="116" t="str">
        <f>'Languages Old'!D69</f>
        <v>Signage for car driver:</v>
      </c>
      <c r="C69" s="116" t="str">
        <f>VLOOKUP(A69,'Languages Old'!$A$4:$I$273,3+$A$1)</f>
        <v>Beschilderung für den Fahrverkehr</v>
      </c>
    </row>
    <row r="70" spans="1:3" x14ac:dyDescent="0.35">
      <c r="A70" s="130">
        <v>67</v>
      </c>
      <c r="B70" s="116" t="str">
        <f>'Languages Old'!D70</f>
        <v>Do traffic signs conform to national road code?</v>
      </c>
      <c r="C70" s="116" t="str">
        <f>VLOOKUP(A70,'Languages Old'!$A$4:$I$273,3+$A$1)</f>
        <v>Sind die Verkehrszeichen konform mit den nationalen Vorschriften?</v>
      </c>
    </row>
    <row r="71" spans="1:3" ht="29" x14ac:dyDescent="0.35">
      <c r="A71" s="130">
        <v>68</v>
      </c>
      <c r="B71" s="116" t="str">
        <f>'Languages Old'!D71</f>
        <v xml:space="preserve">Routing and turn signs: Is signage clear, complete and unambiguous? </v>
      </c>
      <c r="C71" s="116" t="str">
        <f>VLOOKUP(A71,'Languages Old'!$A$4:$I$273,3+$A$1)</f>
        <v>Wegweisung: Ist die Beschilderung leicht sichtbar, vollständig und unmissverständlich?</v>
      </c>
    </row>
    <row r="72" spans="1:3" x14ac:dyDescent="0.35">
      <c r="A72" s="130">
        <v>69</v>
      </c>
      <c r="B72" s="116" t="str">
        <f>'Languages Old'!D72</f>
        <v>Complete ?</v>
      </c>
      <c r="C72" s="116" t="str">
        <f>VLOOKUP(A72,'Languages Old'!$A$4:$I$273,3+$A$1)</f>
        <v>Vollständig?</v>
      </c>
    </row>
    <row r="73" spans="1:3" x14ac:dyDescent="0.35">
      <c r="A73" s="130">
        <v>70</v>
      </c>
      <c r="B73" s="116" t="str">
        <f>'Languages Old'!D73</f>
        <v>Easy to see ?</v>
      </c>
      <c r="C73" s="116" t="str">
        <f>VLOOKUP(A73,'Languages Old'!$A$4:$I$273,3+$A$1)</f>
        <v>Leicht zu sehen?</v>
      </c>
    </row>
    <row r="74" spans="1:3" x14ac:dyDescent="0.35">
      <c r="A74" s="130">
        <v>71</v>
      </c>
      <c r="B74" s="116" t="str">
        <f>'Languages Old'!D74</f>
        <v>Unambiguous ?</v>
      </c>
      <c r="C74" s="116" t="str">
        <f>VLOOKUP(A74,'Languages Old'!$A$4:$I$273,3+$A$1)</f>
        <v>Unmissverständlich?</v>
      </c>
    </row>
    <row r="75" spans="1:3" ht="29" x14ac:dyDescent="0.35">
      <c r="A75" s="130">
        <v>72</v>
      </c>
      <c r="B75" s="116" t="str">
        <f>'Languages Old'!D75</f>
        <v xml:space="preserve">Exit signs in the car park: Is signage clear, complete and unambiguous? </v>
      </c>
      <c r="C75" s="116" t="str">
        <f>VLOOKUP(A75,'Languages Old'!$A$4:$I$273,3+$A$1)</f>
        <v>Ausfahrtsbeschilderung: Ist die Beschilderung leicht sichtbar, vollständig und unmissverständlich?</v>
      </c>
    </row>
    <row r="76" spans="1:3" x14ac:dyDescent="0.35">
      <c r="A76" s="130">
        <v>73</v>
      </c>
      <c r="B76" s="116" t="str">
        <f>'Languages Old'!D76</f>
        <v>Complete ?</v>
      </c>
      <c r="C76" s="116" t="str">
        <f>VLOOKUP(A76,'Languages Old'!$A$4:$I$273,3+$A$1)</f>
        <v>Vollständig?</v>
      </c>
    </row>
    <row r="77" spans="1:3" x14ac:dyDescent="0.35">
      <c r="A77" s="130">
        <v>74</v>
      </c>
      <c r="B77" s="116" t="str">
        <f>'Languages Old'!D77</f>
        <v>Easy to see ?</v>
      </c>
      <c r="C77" s="116" t="str">
        <f>VLOOKUP(A77,'Languages Old'!$A$4:$I$273,3+$A$1)</f>
        <v>Leicht zu sehen?</v>
      </c>
    </row>
    <row r="78" spans="1:3" x14ac:dyDescent="0.35">
      <c r="A78" s="130">
        <v>75</v>
      </c>
      <c r="B78" s="116" t="str">
        <f>'Languages Old'!D78</f>
        <v>Unambiguous ?</v>
      </c>
      <c r="C78" s="116" t="str">
        <f>VLOOKUP(A78,'Languages Old'!$A$4:$I$273,3+$A$1)</f>
        <v>Unmissverständlich?</v>
      </c>
    </row>
    <row r="79" spans="1:3" x14ac:dyDescent="0.35">
      <c r="A79" s="130">
        <v>76</v>
      </c>
      <c r="B79" s="116" t="str">
        <f>'Languages Old'!D79</f>
        <v>Parking bay marks</v>
      </c>
      <c r="C79" s="116" t="str">
        <f>VLOOKUP(A79,'Languages Old'!$A$4:$I$273,3+$A$1)</f>
        <v>Stellplatzmarkierung</v>
      </c>
    </row>
    <row r="80" spans="1:3" x14ac:dyDescent="0.35">
      <c r="A80" s="130">
        <v>77</v>
      </c>
      <c r="B80" s="116" t="str">
        <f>'Languages Old'!D80</f>
        <v>Parking bays are clearly marked ?</v>
      </c>
      <c r="C80" s="116" t="str">
        <f>VLOOKUP(A80,'Languages Old'!$A$4:$I$273,3+$A$1)</f>
        <v>Sind die Stellplätze deutlich markiert?</v>
      </c>
    </row>
    <row r="81" spans="1:3" ht="29" x14ac:dyDescent="0.35">
      <c r="A81" s="130">
        <v>78</v>
      </c>
      <c r="B81" s="116" t="str">
        <f>'Languages Old'!D81</f>
        <v>Bay markings extend up walls to assist driver ?</v>
      </c>
      <c r="C81" s="116" t="str">
        <f>VLOOKUP(A81,'Languages Old'!$A$4:$I$273,3+$A$1)</f>
        <v>Sind die Markierungen bis auf die Wand verlängert um das Einparken zu erleichtern?</v>
      </c>
    </row>
    <row r="82" spans="1:3" x14ac:dyDescent="0.35">
      <c r="A82" s="130">
        <v>79</v>
      </c>
      <c r="B82" s="116" t="str">
        <f>'Languages Old'!D82</f>
        <v>Are Road Markings:</v>
      </c>
      <c r="C82" s="116" t="str">
        <f>VLOOKUP(A82,'Languages Old'!$A$4:$I$273,3+$A$1)</f>
        <v>Sind die Fahrbahnmarkierungen:</v>
      </c>
    </row>
    <row r="83" spans="1:3" x14ac:dyDescent="0.35">
      <c r="A83" s="130">
        <v>80</v>
      </c>
      <c r="B83" s="116" t="str">
        <f>'Languages Old'!D83</f>
        <v>Complete ?</v>
      </c>
      <c r="C83" s="116" t="str">
        <f>VLOOKUP(A83,'Languages Old'!$A$4:$I$273,3+$A$1)</f>
        <v>Vollständig?</v>
      </c>
    </row>
    <row r="84" spans="1:3" x14ac:dyDescent="0.35">
      <c r="A84" s="130">
        <v>81</v>
      </c>
      <c r="B84" s="116" t="str">
        <f>'Languages Old'!D84</f>
        <v>Easy to see ?</v>
      </c>
      <c r="C84" s="116" t="str">
        <f>VLOOKUP(A84,'Languages Old'!$A$4:$I$273,3+$A$1)</f>
        <v>Leicht zu sehen?</v>
      </c>
    </row>
    <row r="85" spans="1:3" x14ac:dyDescent="0.35">
      <c r="A85" s="130">
        <v>82</v>
      </c>
      <c r="B85" s="116" t="str">
        <f>'Languages Old'!D85</f>
        <v>Unambiguous ?</v>
      </c>
      <c r="C85" s="116" t="str">
        <f>VLOOKUP(A85,'Languages Old'!$A$4:$I$273,3+$A$1)</f>
        <v>Unmissverständlich?</v>
      </c>
    </row>
    <row r="86" spans="1:3" ht="29" x14ac:dyDescent="0.35">
      <c r="A86" s="130">
        <v>83</v>
      </c>
      <c r="B86" s="116" t="str">
        <f>'Languages Old'!D86</f>
        <v>Availability of spaces for disabled with wheelchair access anounced at the entrance the car park:</v>
      </c>
      <c r="C86" s="116" t="str">
        <f>VLOOKUP(A86,'Languages Old'!$A$4:$I$273,3+$A$1)</f>
        <v>Wird die Verfügbarkeit von Stellplätzen für Rollstuhlfahrer an der Einfahrt angezeigt?</v>
      </c>
    </row>
    <row r="87" spans="1:3" x14ac:dyDescent="0.35">
      <c r="A87" s="130">
        <v>84</v>
      </c>
      <c r="B87" s="116" t="str">
        <f>'Languages Old'!D87</f>
        <v>Accessible for wheelchair ?</v>
      </c>
      <c r="C87" s="116" t="str">
        <f>VLOOKUP(A87,'Languages Old'!$A$4:$I$273,3+$A$1)</f>
        <v>Zugänglich für Rollstühle?</v>
      </c>
    </row>
    <row r="88" spans="1:3" x14ac:dyDescent="0.35">
      <c r="A88" s="130">
        <v>85</v>
      </c>
      <c r="B88" s="116" t="str">
        <f>'Languages Old'!D88</f>
        <v>Bays minimum 3.5 m wide ?</v>
      </c>
      <c r="C88" s="116" t="str">
        <f>VLOOKUP(A88,'Languages Old'!$A$4:$I$273,3+$A$1)</f>
        <v>Sind die Plätze mindestens 3.50 m breit?</v>
      </c>
    </row>
    <row r="89" spans="1:3" x14ac:dyDescent="0.35">
      <c r="A89" s="130">
        <v>86</v>
      </c>
      <c r="B89" s="116" t="str">
        <f>'Languages Old'!D89</f>
        <v>Close to pedestrian exit ?</v>
      </c>
      <c r="C89" s="116" t="str">
        <f>VLOOKUP(A89,'Languages Old'!$A$4:$I$273,3+$A$1)</f>
        <v>Sind sie Nahe am Ausgang?</v>
      </c>
    </row>
    <row r="90" spans="1:3" x14ac:dyDescent="0.35">
      <c r="A90" s="130">
        <v>87</v>
      </c>
      <c r="B90" s="116" t="str">
        <f>'Languages Old'!D90</f>
        <v>Guidance to disabled spaces ?</v>
      </c>
      <c r="C90" s="116" t="str">
        <f>VLOOKUP(A90,'Languages Old'!$A$4:$I$273,3+$A$1)</f>
        <v>Gibt es eine Hinweisbeschilderung zu den Stellplätzen für Behinderte?</v>
      </c>
    </row>
    <row r="91" spans="1:3" ht="29" x14ac:dyDescent="0.35">
      <c r="A91" s="130">
        <v>88</v>
      </c>
      <c r="B91" s="116" t="str">
        <f>'Languages Old'!D91</f>
        <v>Parking angle at 85 % of bays:
(Angle 76-90° = 0, Angle  45-75° = 2)</v>
      </c>
      <c r="C91" s="116" t="str">
        <f>VLOOKUP(A91,'Languages Old'!$A$4:$I$273,3+$A$1)</f>
        <v>Aufstellwinkel für 85% der Stellplätze (Winkel 76-90° = 0, Winkel  45-75° = 2)</v>
      </c>
    </row>
    <row r="92" spans="1:3" ht="116" x14ac:dyDescent="0.35">
      <c r="A92" s="130">
        <v>89</v>
      </c>
      <c r="B92" s="116" t="str">
        <f>'Languages Old'!D92</f>
        <v>Width of bays (85 % of bays), A or B: 
A: Parking angle 76 – 90 degrees
(2.25m = -5, 2.30m = 0, 2.35m = 2, 2.40m = 4, 2.45m = 6, 2.50m = 8) 
B: Parking angle 45-75 degrees
(2.25m = -5, 2.30m = 1, 2.35m = 3, 2.40m = 5, 2.45m = 8)
Width of 2.25m only applies for renovated car parks, new car parks must be minimum 2.30m</v>
      </c>
      <c r="C92" s="116" t="str">
        <f>VLOOKUP(A92,'Languages Old'!$A$4:$I$273,3+$A$1)</f>
        <v>Stellplatzbreite (85 % der Stellplätze), A oder B: 
A: Aufstellwinkel zwischen 76 – 90 Grad
(2.25m = -5, 2.30m = 0, 2.35m = 2, 2.40m = 4, 2.45m = 6, 2.50m = 8) 
B: Aufstellwinkel zwischen 45-75 degrés
(2.25m = -5, 2.30m = 1, 2.35m = 3, 2.40m = 5, 2.45m = 8)
Die Breite von 2.25m ist nur bei über 10 Jahre alten renovierten Parkhäusern zulässig. Neue Parkhäuser müssen eine Stellplatzbreite von mindestens 2.30m aufweisen.</v>
      </c>
    </row>
    <row r="93" spans="1:3" ht="275.5" x14ac:dyDescent="0.35">
      <c r="A93" s="130">
        <v>90</v>
      </c>
      <c r="B93" s="116" t="str">
        <f>'Languages Old'!D93</f>
        <v>Total unit measure of one way isle width and
depth of two parking bays, depending on parking angle and bay width:
Bay width: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Total unit measure as above qualifies for 3 points. 
Up to 30 cm less qualifies for 2 points
Up to 60 cm less qualifies for 1 point
More than 60 cm less: no points given</v>
      </c>
      <c r="C93" s="116" t="str">
        <f>VLOOKUP(A93,'Languages Old'!$A$4:$I$273,3+$A$1)</f>
        <v xml:space="preserve">Parkgassenbreite  (Fahrbahn plus 2 Stellplätze) in Abhängigkeit der Stellplatzbreite und des Aufstellwinkels: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Breiten wie oben aufgeführt erhalten 3 Punkte. 
Breiten bis zu 30 cm weniger erhalten 2 Punkte
Breiten bis zu 60 cm weniger erhalten 1 Punkte
Über 60 cm weniger: 0 Punkte
</v>
      </c>
    </row>
    <row r="94" spans="1:3" ht="43.5" x14ac:dyDescent="0.35">
      <c r="A94" s="130">
        <v>91</v>
      </c>
      <c r="B94" s="116" t="str">
        <f>'Languages Old'!D94</f>
        <v>Kerb design to avoid damage to average vehicle’s wheels
•  Yes = 2, No protection = 0</v>
      </c>
      <c r="C94" s="116" t="str">
        <f>VLOOKUP(A94,'Languages Old'!$A$4:$I$273,3+$A$1)</f>
        <v>Bauliche Ausbildung der Schrammborde zum Schutz vor Beschädigungen der Reifen und Felgen:
•  Ja = 2, kein Schutz = 0</v>
      </c>
    </row>
    <row r="95" spans="1:3" x14ac:dyDescent="0.35">
      <c r="A95" s="130">
        <v>92</v>
      </c>
      <c r="B95" s="116" t="str">
        <f>'Languages Old'!D95</f>
        <v>Vehicle Ramps</v>
      </c>
      <c r="C95" s="116" t="str">
        <f>VLOOKUP(A95,'Languages Old'!$A$4:$I$273,3+$A$1)</f>
        <v>Fahrzeugrampen</v>
      </c>
    </row>
    <row r="96" spans="1:3" ht="29" x14ac:dyDescent="0.35">
      <c r="A96" s="130">
        <v>93</v>
      </c>
      <c r="B96" s="116" t="str">
        <f>'Languages Old'!D96</f>
        <v>Is this a Single level car park without vehicular ramps or ramper floor?</v>
      </c>
      <c r="C96" s="116" t="str">
        <f>VLOOKUP(A96,'Languages Old'!$A$4:$I$273,3+$A$1)</f>
        <v>Handelt es sich um ein 1-geschossiges Parkhaus ohne Rampen oder geneigte Parkebenen?</v>
      </c>
    </row>
    <row r="97" spans="1:3" ht="25" x14ac:dyDescent="0.35">
      <c r="A97" s="130">
        <v>94</v>
      </c>
      <c r="B97" s="118" t="str">
        <f>'Languages Old'!D97</f>
        <v>Ramp surface between parking areas (Anti slip 1, Smooth 0, no ramps 1)</v>
      </c>
      <c r="C97" s="118" t="str">
        <f>VLOOKUP(A97,'Languages Old'!$A$4:$I$273,3+$A$1)</f>
        <v>Oberflächenausbildung der Rampe zwischen den Parkebenen (rutschhemmend 1; glatt 0, keine Rampen 1)</v>
      </c>
    </row>
    <row r="98" spans="1:3" ht="37.5" x14ac:dyDescent="0.35">
      <c r="A98" s="130">
        <v>95</v>
      </c>
      <c r="B98" s="118" t="str">
        <f>'Languages Old'!D98</f>
        <v>Ramp longitudinal gradient connecting ramps (not used for parking)
•  &lt;10%=3, 10-15%=1, &gt;15%=0, no ramps=3</v>
      </c>
      <c r="C98" s="118" t="str">
        <f>VLOOKUP(A98,'Languages Old'!$A$4:$I$273,3+$A$1)</f>
        <v>Gefälle der Geschoßverbindungsrampen (keine Parkrampen)
•  &lt;10%=3, 10-15%=1, &gt;15%=0, keine Rampen=3</v>
      </c>
    </row>
    <row r="99" spans="1:3" ht="25" x14ac:dyDescent="0.35">
      <c r="A99" s="130">
        <v>96</v>
      </c>
      <c r="B99" s="118" t="str">
        <f>'Languages Old'!D99</f>
        <v xml:space="preserve">Ramp width (between kerbs) all ramps measured at narrowest point </v>
      </c>
      <c r="C99" s="118" t="str">
        <f>VLOOKUP(A99,'Languages Old'!$A$4:$I$273,3+$A$1)</f>
        <v>Rampenbreite (zwischen Schrammborden), gemessen am engsten Punkt der Rampen</v>
      </c>
    </row>
    <row r="100" spans="1:3" ht="25" x14ac:dyDescent="0.35">
      <c r="A100" s="130">
        <v>97</v>
      </c>
      <c r="B100" s="119" t="str">
        <f>'Languages Old'!D100</f>
        <v>Curved ramps must be 1 m wider for same score. Are the ramps curbed?</v>
      </c>
      <c r="C100" s="119" t="str">
        <f>VLOOKUP(A100,'Languages Old'!$A$4:$I$273,3+$A$1)</f>
        <v>Gekrümmte Rampen müssen für dieselbe Punktzahl um 1m breiter sein? Sind die Rampen gekrümmt?</v>
      </c>
    </row>
    <row r="101" spans="1:3" ht="28" x14ac:dyDescent="0.35">
      <c r="A101" s="130">
        <v>98</v>
      </c>
      <c r="B101" s="120" t="str">
        <f>'Languages Old'!D101</f>
        <v>Please choose width. &lt; 3m=0, 3-3.3m=1, &gt;3.3m=2, no ramps=2</v>
      </c>
      <c r="C101" s="120" t="str">
        <f>VLOOKUP(A101,'Languages Old'!$A$4:$I$273,3+$A$1)</f>
        <v>Breite &lt; 3m=0, 3-3.3m=1, &gt;3.3m=2, keine Rampen=2</v>
      </c>
    </row>
    <row r="102" spans="1:3" ht="37.5" x14ac:dyDescent="0.35">
      <c r="A102" s="130">
        <v>99</v>
      </c>
      <c r="B102" s="118" t="str">
        <f>'Languages Old'!D102</f>
        <v>Ramp curvature (external radius) curved ramps
•  up to 9m=0, 9–10 m=1, &gt;10m=2, no ramps=2
At dual way ramps this measure refers to the inner lane.</v>
      </c>
      <c r="C102" s="118" t="str">
        <f>VLOOKUP(A102,'Languages Old'!$A$4:$I$273,3+$A$1)</f>
        <v>Rampenradius (Außenradius)
•  bis 9m=0, 9–10 m=1, &gt;10m=2, keine Rampen=2
Bei mehrspurigen Rampen gelten diese Angaben für die innere Spur.</v>
      </c>
    </row>
    <row r="103" spans="1:3" ht="25" x14ac:dyDescent="0.35">
      <c r="A103" s="130">
        <v>100</v>
      </c>
      <c r="B103" s="118" t="str">
        <f>'Languages Old'!D103</f>
        <v>Approach curve to straight ramps
•  &lt;7.5m=0, 7.5–9m=1, &gt;9m=2, no ramps=2</v>
      </c>
      <c r="C103" s="118" t="str">
        <f>VLOOKUP(A103,'Languages Old'!$A$4:$I$273,3+$A$1)</f>
        <v>Eingangskurve zu geraden Rampen
•  &lt;7.5m=0, 7.5–9m=1, &gt;9m=2, keine Rampen=2</v>
      </c>
    </row>
    <row r="104" spans="1:3" ht="25" x14ac:dyDescent="0.35">
      <c r="A104" s="130">
        <v>101</v>
      </c>
      <c r="B104" s="118" t="str">
        <f>'Languages Old'!D104</f>
        <v>Ramped parking floor longitudinal gradient
•  &lt;5%=3, 5-7 =1, &gt;7%=0, no gradient=3</v>
      </c>
      <c r="C104" s="118" t="str">
        <f>VLOOKUP(A104,'Languages Old'!$A$4:$I$273,3+$A$1)</f>
        <v>Gefälle von Parkrampen (geneigte Parkebenen)
•  &lt;5%=3, 5-7 =1, &gt;7%=0, kein Gefälle =3</v>
      </c>
    </row>
    <row r="105" spans="1:3" x14ac:dyDescent="0.35">
      <c r="A105" s="130">
        <v>102</v>
      </c>
      <c r="B105" s="116" t="str">
        <f>'Languages Old'!D105</f>
        <v>Pedestrian Access</v>
      </c>
      <c r="C105" s="116" t="str">
        <f>VLOOKUP(A105,'Languages Old'!$A$4:$I$273,3+$A$1)</f>
        <v>Fußgängereingang</v>
      </c>
    </row>
    <row r="106" spans="1:3" x14ac:dyDescent="0.35">
      <c r="A106" s="130">
        <v>103</v>
      </c>
      <c r="B106" s="116" t="str">
        <f>'Languages Old'!D106</f>
        <v>Item List</v>
      </c>
      <c r="C106" s="116" t="str">
        <f>VLOOKUP(A106,'Languages Old'!$A$4:$I$273,3+$A$1)</f>
        <v>Positionsliste</v>
      </c>
    </row>
    <row r="107" spans="1:3" ht="72.5" x14ac:dyDescent="0.35">
      <c r="A107" s="130">
        <v>104</v>
      </c>
      <c r="B107" s="116" t="str">
        <f>'Languages Old'!D107</f>
        <v>Headroom for pedestrians - excluding doors
• &lt;2.00m = 0
• 2.00m – 2.10m = 1
• 2.10m – 2.20m = 2
• &gt; 2.20m = 3</v>
      </c>
      <c r="C107" s="116" t="str">
        <f>VLOOKUP(A107,'Languages Old'!$A$4:$I$273,3+$A$1)</f>
        <v>Durchgangshöhe für Fußgänger (Türen ausgenommen)
(&lt;2.00m = 0, 2.00m – 2.10m = 1, 2.10m – 2.20m = 2, &gt; 2.20m = 3)</v>
      </c>
    </row>
    <row r="108" spans="1:3" ht="29" x14ac:dyDescent="0.35">
      <c r="A108" s="130">
        <v>105</v>
      </c>
      <c r="B108" s="116" t="str">
        <f>'Languages Old'!D108</f>
        <v>Separate walking route (i.e. heightened; zebra stripes or colours) (yes = 2, no = 0)</v>
      </c>
      <c r="C108" s="116" t="str">
        <f>VLOOKUP(A108,'Languages Old'!$A$4:$I$273,3+$A$1)</f>
        <v>Ausgewiesene Fußwege (z.B.: baulich erhöht, Zebrastreifen oder farbig) (ja = 2, nein = 0)</v>
      </c>
    </row>
    <row r="109" spans="1:3" ht="43.5" x14ac:dyDescent="0.35">
      <c r="A109" s="130">
        <v>106</v>
      </c>
      <c r="B109" s="116" t="str">
        <f>'Languages Old'!D109</f>
        <v>Are pedestrian entrance doors easy to use?
(Yes, automatic or open connection = 4, Easy to open = 2, No = 0)</v>
      </c>
      <c r="C109" s="116" t="str">
        <f>VLOOKUP(A109,'Languages Old'!$A$4:$I$273,3+$A$1)</f>
        <v>Sind die Türen für Fußgänger leicht zu öffnen ?
(Ja, Automatiktüren oder offene Verbindung = 4, leicht zu öffnen = 2, nein = 0)</v>
      </c>
    </row>
    <row r="110" spans="1:3" ht="29" x14ac:dyDescent="0.35">
      <c r="A110" s="130">
        <v>107</v>
      </c>
      <c r="B110" s="116" t="str">
        <f>'Languages Old'!D110</f>
        <v>Pedestrian access controlled by ticket/pass card when car park open (Yes=1, No=0)</v>
      </c>
      <c r="C110" s="116" t="str">
        <f>VLOOKUP(A110,'Languages Old'!$A$4:$I$273,3+$A$1)</f>
        <v>Ist der Fußgängereingang auch während der Öffnungszeiten mit einem Kartenleser gesichert ? (Ja=2,Nein=0)</v>
      </c>
    </row>
    <row r="111" spans="1:3" ht="43.5" x14ac:dyDescent="0.35">
      <c r="A111" s="130">
        <v>108</v>
      </c>
      <c r="B111" s="116" t="str">
        <f>'Languages Old'!D111</f>
        <v>City plan a central location in car park:
(On Every pedestrian exit = 2, One location = 1, No = 0)</v>
      </c>
      <c r="C111" s="116" t="str">
        <f>VLOOKUP(A111,'Languages Old'!$A$4:$I$273,3+$A$1)</f>
        <v xml:space="preserve">Liegt ein Stadtplan an einem zentralen Punkt des Parkhauses aus ?:
(An jedem Fußgängerausgang= 2, An einer anderen Stelle = 1, Nein = 0)
</v>
      </c>
    </row>
    <row r="112" spans="1:3" x14ac:dyDescent="0.35">
      <c r="A112" s="130">
        <v>109</v>
      </c>
      <c r="B112" s="116" t="str">
        <f>'Languages Old'!D112</f>
        <v>Guidance:</v>
      </c>
      <c r="C112" s="116" t="str">
        <f>VLOOKUP(A112,'Languages Old'!$A$4:$I$273,3+$A$1)</f>
        <v>Wegweisung:</v>
      </c>
    </row>
    <row r="113" spans="1:3" ht="29" x14ac:dyDescent="0.35">
      <c r="A113" s="130">
        <v>110</v>
      </c>
      <c r="B113" s="116" t="str">
        <f>'Languages Old'!D113</f>
        <v>to key attractions around the car park at pedestrian exit (Yes=1, No=0):</v>
      </c>
      <c r="C113" s="116" t="str">
        <f>VLOOKUP(A113,'Languages Old'!$A$4:$I$273,3+$A$1)</f>
        <v>Zu wichtigen Zielen außerhalb des Parkhauses (Ja=1, Nein=0):</v>
      </c>
    </row>
    <row r="114" spans="1:3" x14ac:dyDescent="0.35">
      <c r="A114" s="130">
        <v>111</v>
      </c>
      <c r="B114" s="116" t="str">
        <f>'Languages Old'!D114</f>
        <v>around the car park to pedestrian entrances (Yes=1, No=0):</v>
      </c>
      <c r="C114" s="116" t="str">
        <f>VLOOKUP(A114,'Languages Old'!$A$4:$I$273,3+$A$1)</f>
        <v>In der Umgebung des Parkhauses zu den Eingängen (Ja=1, Nein=0):</v>
      </c>
    </row>
    <row r="115" spans="1:3" ht="29" x14ac:dyDescent="0.35">
      <c r="A115" s="130">
        <v>112</v>
      </c>
      <c r="B115" s="116" t="str">
        <f>'Languages Old'!D115</f>
        <v>Is this a Single level car park at ground floor, (not open surface) ?</v>
      </c>
      <c r="C115" s="116" t="str">
        <f>VLOOKUP(A115,'Languages Old'!$A$4:$I$273,3+$A$1)</f>
        <v>Handelt es sich um ein 1-geschossiges Parkhaus auf Erdgeschoßniveau (keine offener Parkplatz)?</v>
      </c>
    </row>
    <row r="116" spans="1:3" x14ac:dyDescent="0.35">
      <c r="A116" s="130">
        <v>113</v>
      </c>
      <c r="B116" s="116" t="str">
        <f>'Languages Old'!D116</f>
        <v>Is there elevators serving street level?</v>
      </c>
      <c r="C116" s="116" t="str">
        <f>VLOOKUP(A116,'Languages Old'!$A$4:$I$273,3+$A$1)</f>
        <v>Fahren der/die Aufzüge das Erdgeschoß/Straßenniveau an?</v>
      </c>
    </row>
    <row r="117" spans="1:3" ht="29" x14ac:dyDescent="0.35">
      <c r="A117" s="130">
        <v>114</v>
      </c>
      <c r="B117" s="116" t="str">
        <f>'Languages Old'!D117</f>
        <v>Number of Elevators at street level:
(1 elevator = 1, 2 + elevators = 5)</v>
      </c>
      <c r="C117" s="116" t="str">
        <f>VLOOKUP(A117,'Languages Old'!$A$4:$I$273,3+$A$1)</f>
        <v>Anzahl der Aufzüge, welche das Erdgeschoß/Straßenniveau  anfahren:
(1 Aufzug = 1, 2 Aufzüge oder mehr = 5)</v>
      </c>
    </row>
    <row r="118" spans="1:3" ht="29" x14ac:dyDescent="0.35">
      <c r="A118" s="130">
        <v>115</v>
      </c>
      <c r="B118" s="116" t="str">
        <f>'Languages Old'!D118</f>
        <v>Size of elevators:
(More Than 8 people = 3, 4-8 people = 1, less than 4 = 0)</v>
      </c>
      <c r="C118" s="116" t="str">
        <f>VLOOKUP(A118,'Languages Old'!$A$4:$I$273,3+$A$1)</f>
        <v>Größe der Aufzüge:
(über 8 Personen = 3, 4-8 Personen = 1, weniger als 4 Personen= 0)</v>
      </c>
    </row>
    <row r="119" spans="1:3" ht="43.5" x14ac:dyDescent="0.35">
      <c r="A119" s="130">
        <v>116</v>
      </c>
      <c r="B119" s="116" t="str">
        <f>'Languages Old'!D119</f>
        <v>Visibility from elevator inside to hall/parking area
(no visibility from elevator = 0, glazed doors/walls = 3, no elevator = 0)</v>
      </c>
      <c r="C119" s="116" t="str">
        <f>VLOOKUP(A119,'Languages Old'!$A$4:$I$273,3+$A$1)</f>
        <v>Sichtverbindung zwischen Aufzug und Vorraum/Parkebene :
(Keine Sichtverbindung = 0, Türen/Schachtwände verglast = 3, kein Aufzug = 0)</v>
      </c>
    </row>
    <row r="120" spans="1:3" x14ac:dyDescent="0.35">
      <c r="A120" s="130">
        <v>117</v>
      </c>
      <c r="B120" s="116" t="str">
        <f>'Languages Old'!D120</f>
        <v>Level indication:</v>
      </c>
      <c r="C120" s="116" t="str">
        <f>VLOOKUP(A120,'Languages Old'!$A$4:$I$273,3+$A$1)</f>
        <v>Anzeige der Etage</v>
      </c>
    </row>
    <row r="121" spans="1:3" x14ac:dyDescent="0.35">
      <c r="A121" s="130">
        <v>118</v>
      </c>
      <c r="B121" s="116" t="str">
        <f>'Languages Old'!D121</f>
        <v>in elevator:</v>
      </c>
      <c r="C121" s="116" t="str">
        <f>VLOOKUP(A121,'Languages Old'!$A$4:$I$273,3+$A$1)</f>
        <v>Im Aufzug</v>
      </c>
    </row>
    <row r="122" spans="1:3" x14ac:dyDescent="0.35">
      <c r="A122" s="130">
        <v>119</v>
      </c>
      <c r="B122" s="116" t="str">
        <f>'Languages Old'!D122</f>
        <v>in elevator foyer:</v>
      </c>
      <c r="C122" s="116" t="str">
        <f>VLOOKUP(A122,'Languages Old'!$A$4:$I$273,3+$A$1)</f>
        <v>Im Aufzugvorraum</v>
      </c>
    </row>
    <row r="123" spans="1:3" ht="29" x14ac:dyDescent="0.35">
      <c r="A123" s="130">
        <v>120</v>
      </c>
      <c r="B123" s="116" t="str">
        <f>'Languages Old'!D123</f>
        <v>Elevator control buttons at wheelchair height
•  Yes = 1, Other = 0</v>
      </c>
      <c r="C123" s="116" t="str">
        <f>VLOOKUP(A123,'Languages Old'!$A$4:$I$273,3+$A$1)</f>
        <v>Bedienelemente im Aufzug in behindertengerechter Höhe?
•  Ja = 1, andere = 0</v>
      </c>
    </row>
    <row r="124" spans="1:3" x14ac:dyDescent="0.35">
      <c r="A124" s="130">
        <v>121</v>
      </c>
      <c r="B124" s="116" t="str">
        <f>'Languages Old'!D124</f>
        <v>Doors directly to parking area</v>
      </c>
      <c r="C124" s="116" t="str">
        <f>VLOOKUP(A124,'Languages Old'!$A$4:$I$273,3+$A$1)</f>
        <v>Verbindungstüren zu den Parkebenen</v>
      </c>
    </row>
    <row r="125" spans="1:3" x14ac:dyDescent="0.35">
      <c r="A125" s="130">
        <v>122</v>
      </c>
      <c r="B125" s="116" t="str">
        <f>'Languages Old'!D125</f>
        <v>Width (&lt;90 cm =0, &gt;=90 cm = 2)</v>
      </c>
      <c r="C125" s="116" t="str">
        <f>VLOOKUP(A125,'Languages Old'!$A$4:$I$273,3+$A$1)</f>
        <v>Lichte Breite (&lt;90 cm =0, &gt;=90 cm = 2)</v>
      </c>
    </row>
    <row r="126" spans="1:3" x14ac:dyDescent="0.35">
      <c r="A126" s="130">
        <v>123</v>
      </c>
      <c r="B126" s="116" t="str">
        <f>'Languages Old'!D126</f>
        <v>Emergency door, standard open (Yes=2, No= 0)</v>
      </c>
      <c r="C126" s="116" t="str">
        <f>VLOOKUP(A126,'Languages Old'!$A$4:$I$273,3+$A$1)</f>
        <v>Fluchttüren, standardmässig offen (ja=2, nein= 0)</v>
      </c>
    </row>
    <row r="127" spans="1:3" x14ac:dyDescent="0.35">
      <c r="A127" s="130">
        <v>124</v>
      </c>
      <c r="B127" s="116" t="str">
        <f>'Languages Old'!D127</f>
        <v>Visibility (Glazed door/wall = 3, No Glass = 0)</v>
      </c>
      <c r="C127" s="116" t="str">
        <f>VLOOKUP(A127,'Languages Old'!$A$4:$I$273,3+$A$1)</f>
        <v>Sichtbeziehung (verglaste Türen/Wände = 3, kein Glas = 0)</v>
      </c>
    </row>
    <row r="128" spans="1:3" ht="29" x14ac:dyDescent="0.35">
      <c r="A128" s="130">
        <v>125</v>
      </c>
      <c r="B128" s="116" t="str">
        <f>'Languages Old'!D128</f>
        <v>Are elevators the main vertical connection? (stairs only secondary or escape)</v>
      </c>
      <c r="C128" s="116" t="str">
        <f>VLOOKUP(A128,'Languages Old'!$A$4:$I$273,3+$A$1)</f>
        <v>Sind Aufzüge die wichtigste Geschoßverbindung? (Treppen nur zweitrangig oder zur Entfluchtung)</v>
      </c>
    </row>
    <row r="129" spans="1:3" x14ac:dyDescent="0.35">
      <c r="A129" s="130">
        <v>126</v>
      </c>
      <c r="B129" s="118" t="str">
        <f>'Languages Old'!D129</f>
        <v>Stairwells (visibility and orientation)</v>
      </c>
      <c r="C129" s="118" t="str">
        <f>VLOOKUP(A129,'Languages Old'!$A$4:$I$273,3+$A$1)</f>
        <v>Treppenhäuser (Übersichtlichkeit und Orientierung)</v>
      </c>
    </row>
    <row r="130" spans="1:3" x14ac:dyDescent="0.35">
      <c r="A130" s="130">
        <v>127</v>
      </c>
      <c r="B130" s="119" t="str">
        <f>'Languages Old'!D130</f>
        <v>Clear View (Yes = 1, No = 0, Irrelevant = 1)</v>
      </c>
      <c r="C130" s="119" t="str">
        <f>VLOOKUP(A130,'Languages Old'!$A$4:$I$273,3+$A$1)</f>
        <v>Übersichtlich  (ja= 1, nein = 0, unzutreffend = 1)</v>
      </c>
    </row>
    <row r="131" spans="1:3" x14ac:dyDescent="0.35">
      <c r="A131" s="130">
        <v>128</v>
      </c>
      <c r="B131" s="120" t="str">
        <f>'Languages Old'!D131</f>
        <v>Level Indication (Yes = 1, No = 0, Irrelevant = 1)</v>
      </c>
      <c r="C131" s="120" t="str">
        <f>VLOOKUP(A131,'Languages Old'!$A$4:$I$273,3+$A$1)</f>
        <v>Geschoßkennzeichnung (ja = 1, nein = 0, unzutreffend = 1)</v>
      </c>
    </row>
    <row r="132" spans="1:3" x14ac:dyDescent="0.35">
      <c r="A132" s="130">
        <v>129</v>
      </c>
      <c r="B132" s="118" t="str">
        <f>'Languages Old'!D132</f>
        <v>Stairs (incl. heightened visibility of steps)</v>
      </c>
      <c r="C132" s="118" t="str">
        <f>VLOOKUP(A132,'Languages Old'!$A$4:$I$273,3+$A$1)</f>
        <v>Treppen (einschließlich verbesserte Sichtbarkeit von Stufen)</v>
      </c>
    </row>
    <row r="133" spans="1:3" x14ac:dyDescent="0.35">
      <c r="A133" s="130">
        <v>130</v>
      </c>
      <c r="B133" s="121" t="str">
        <f>'Languages Old'!D133</f>
        <v>Width (&lt; 1.5 m = 0, &gt; 1.5m = 2)</v>
      </c>
      <c r="C133" s="121" t="str">
        <f>VLOOKUP(A133,'Languages Old'!$A$4:$I$273,3+$A$1)</f>
        <v>Breite (&lt; 1.5 m = 0, &gt; 1.5m = 2)</v>
      </c>
    </row>
    <row r="134" spans="1:3" x14ac:dyDescent="0.35">
      <c r="A134" s="130">
        <v>131</v>
      </c>
      <c r="B134" s="121" t="str">
        <f>'Languages Old'!D134</f>
        <v>Hand Rails (No hand rail =0, One Side = 1, Two sides=2)</v>
      </c>
      <c r="C134" s="121" t="str">
        <f>VLOOKUP(A134,'Languages Old'!$A$4:$I$273,3+$A$1)</f>
        <v>Handläufe (Kein Handlauf = 0, einseitig = 1, beidseitig = 2)</v>
      </c>
    </row>
    <row r="135" spans="1:3" ht="25" x14ac:dyDescent="0.35">
      <c r="A135" s="130">
        <v>132</v>
      </c>
      <c r="B135" s="121" t="str">
        <f>'Languages Old'!D135</f>
        <v>Heightened visibility of steps for people with poor eyesight (Yes = 2, No = 0)</v>
      </c>
      <c r="C135" s="121" t="str">
        <f>VLOOKUP(A135,'Languages Old'!$A$4:$I$273,3+$A$1)</f>
        <v>Verbesserte Sichtbarkeit von Stufen für Personen mit eingeschränkter Sehstärke (ja = 2, nein = 0)</v>
      </c>
    </row>
    <row r="136" spans="1:3" x14ac:dyDescent="0.35">
      <c r="A136" s="130">
        <v>133</v>
      </c>
      <c r="B136" s="121" t="str">
        <f>'Languages Old'!D136</f>
        <v>Anti-slip surfacing on stairs: (Yes = 2, No = 0)</v>
      </c>
      <c r="C136" s="121" t="str">
        <f>VLOOKUP(A136,'Languages Old'!$A$4:$I$273,3+$A$1)</f>
        <v>Rutschfester Belag auf den Stufen (ja = 2, nein = 0)</v>
      </c>
    </row>
    <row r="137" spans="1:3" ht="37.5" x14ac:dyDescent="0.35">
      <c r="A137" s="130">
        <v>134</v>
      </c>
      <c r="B137" s="118" t="str">
        <f>'Languages Old'!D137</f>
        <v>External openings in stairwell
(window/grilled to outside or car park  =2, none =0)</v>
      </c>
      <c r="C137" s="118" t="str">
        <f>VLOOKUP(A137,'Languages Old'!$A$4:$I$273,3+$A$1)</f>
        <v>Öffnungen in Treppenhauswänden
(Fenster oder vergitterte Öffnungen ins Freie oder zu den Parkebenen = 2, keine Öffnungen = 0)</v>
      </c>
    </row>
    <row r="138" spans="1:3" x14ac:dyDescent="0.35">
      <c r="A138" s="130">
        <v>135</v>
      </c>
      <c r="B138" s="116" t="str">
        <f>'Languages Old'!D138</f>
        <v>Security Equipment</v>
      </c>
      <c r="C138" s="116" t="str">
        <f>VLOOKUP(A138,'Languages Old'!$A$4:$I$273,3+$A$1)</f>
        <v>Sicherheitseinrichtungen</v>
      </c>
    </row>
    <row r="139" spans="1:3" x14ac:dyDescent="0.35">
      <c r="A139" s="130">
        <v>136</v>
      </c>
      <c r="B139" s="116" t="str">
        <f>'Languages Old'!D139</f>
        <v>Item List</v>
      </c>
      <c r="C139" s="116" t="str">
        <f>VLOOKUP(A139,'Languages Old'!$A$4:$I$273,3+$A$1)</f>
        <v>Positionsliste</v>
      </c>
    </row>
    <row r="140" spans="1:3" ht="29" x14ac:dyDescent="0.35">
      <c r="A140" s="130">
        <v>137</v>
      </c>
      <c r="B140" s="116" t="str">
        <f>'Languages Old'!D140</f>
        <v>CCTV with notice at entrance = 3, No CCTV =0</v>
      </c>
      <c r="C140" s="116" t="str">
        <f>VLOOKUP(A140,'Languages Old'!$A$4:$I$273,3+$A$1)</f>
        <v>Videoüberwachung mit Ankündigung am Eingang = 3, Keine Videoüberwachung = 0</v>
      </c>
    </row>
    <row r="141" spans="1:3" ht="29" x14ac:dyDescent="0.35">
      <c r="A141" s="130">
        <v>138</v>
      </c>
      <c r="B141" s="116" t="str">
        <f>'Languages Old'!D141</f>
        <v>Staff surveillance (on-site or remote)
•  Yes = 5, No = 0</v>
      </c>
      <c r="C141" s="116" t="str">
        <f>VLOOKUP(A141,'Languages Old'!$A$4:$I$273,3+$A$1)</f>
        <v>Überwachung durch Personal (vor Ort oder durch Fernüberwachung)
•  ja = 5, nein = 0</v>
      </c>
    </row>
    <row r="142" spans="1:3" x14ac:dyDescent="0.35">
      <c r="A142" s="130">
        <v>139</v>
      </c>
      <c r="B142" s="116" t="str">
        <f>'Languages Old'!D142</f>
        <v>CCTV at:</v>
      </c>
      <c r="C142" s="116" t="str">
        <f>VLOOKUP(A142,'Languages Old'!$A$4:$I$273,3+$A$1)</f>
        <v>Videoüberwachung an besonderen Stellen</v>
      </c>
    </row>
    <row r="143" spans="1:3" x14ac:dyDescent="0.35">
      <c r="A143" s="130">
        <v>140</v>
      </c>
      <c r="B143" s="116" t="str">
        <f>'Languages Old'!D143</f>
        <v>Car Entry: Yes =1, No =0</v>
      </c>
      <c r="C143" s="116" t="str">
        <f>VLOOKUP(A143,'Languages Old'!$A$4:$I$273,3+$A$1)</f>
        <v>Einfahrt: ja = 1, nein = 0</v>
      </c>
    </row>
    <row r="144" spans="1:3" x14ac:dyDescent="0.35">
      <c r="A144" s="130">
        <v>141</v>
      </c>
      <c r="B144" s="116" t="str">
        <f>'Languages Old'!D144</f>
        <v xml:space="preserve"> Car Exit: Yes =1, No =0</v>
      </c>
      <c r="C144" s="116" t="str">
        <f>VLOOKUP(A144,'Languages Old'!$A$4:$I$273,3+$A$1)</f>
        <v>Ausfahrt: ja = 1, nein = 0</v>
      </c>
    </row>
    <row r="145" spans="1:3" x14ac:dyDescent="0.35">
      <c r="A145" s="130">
        <v>142</v>
      </c>
      <c r="B145" s="116" t="str">
        <f>'Languages Old'!D145</f>
        <v>Pay Machine: Yes =1, No =0</v>
      </c>
      <c r="C145" s="116" t="str">
        <f>VLOOKUP(A145,'Languages Old'!$A$4:$I$273,3+$A$1)</f>
        <v>Kassenautomat: ja = 1, nein = 0</v>
      </c>
    </row>
    <row r="146" spans="1:3" x14ac:dyDescent="0.35">
      <c r="A146" s="130">
        <v>143</v>
      </c>
      <c r="B146" s="116" t="str">
        <f>'Languages Old'!D146</f>
        <v>Elevator Hall, every level: Yes =1, No =0</v>
      </c>
      <c r="C146" s="116" t="str">
        <f>VLOOKUP(A146,'Languages Old'!$A$4:$I$273,3+$A$1)</f>
        <v>Aufzugvorraum, in allen Geschossen: ja = 1, nein = 0</v>
      </c>
    </row>
    <row r="147" spans="1:3" x14ac:dyDescent="0.35">
      <c r="A147" s="130">
        <v>144</v>
      </c>
      <c r="B147" s="116" t="str">
        <f>'Languages Old'!D147</f>
        <v>Stairwells, every level: Yes =1, No =0</v>
      </c>
      <c r="C147" s="116" t="str">
        <f>VLOOKUP(A147,'Languages Old'!$A$4:$I$273,3+$A$1)</f>
        <v>Treppenhäuser, in allen Geschossen: ja = 1, nein = 0</v>
      </c>
    </row>
    <row r="148" spans="1:3" x14ac:dyDescent="0.35">
      <c r="A148" s="130">
        <v>145</v>
      </c>
      <c r="B148" s="116" t="str">
        <f>'Languages Old'!D148</f>
        <v>Pedestrian Entrances: Yes =1, No =0</v>
      </c>
      <c r="C148" s="116" t="str">
        <f>VLOOKUP(A148,'Languages Old'!$A$4:$I$273,3+$A$1)</f>
        <v>Fußgängereingang: ja = 1, nein = 0</v>
      </c>
    </row>
    <row r="149" spans="1:3" x14ac:dyDescent="0.35">
      <c r="A149" s="130">
        <v>146</v>
      </c>
      <c r="B149" s="116" t="str">
        <f>'Languages Old'!D149</f>
        <v>Most of Parking Area (65%):Yes =3, No =0</v>
      </c>
      <c r="C149" s="116" t="str">
        <f>VLOOKUP(A149,'Languages Old'!$A$4:$I$273,3+$A$1)</f>
        <v>Überwiegender Teil der Parkebenen (65%): ja = 3, nein = 0</v>
      </c>
    </row>
    <row r="150" spans="1:3" x14ac:dyDescent="0.35">
      <c r="A150" s="130">
        <v>147</v>
      </c>
      <c r="B150" s="116" t="str">
        <f>'Languages Old'!D150</f>
        <v xml:space="preserve"> Ramps: Yes = 1, No = 0</v>
      </c>
      <c r="C150" s="116" t="str">
        <f>VLOOKUP(A150,'Languages Old'!$A$4:$I$273,3+$A$1)</f>
        <v>Rampen: ja = 1, nein = 0</v>
      </c>
    </row>
    <row r="151" spans="1:3" x14ac:dyDescent="0.35">
      <c r="A151" s="130">
        <v>148</v>
      </c>
      <c r="B151" s="116" t="str">
        <f>'Languages Old'!D151</f>
        <v>Staff contactable via:</v>
      </c>
      <c r="C151" s="116" t="str">
        <f>VLOOKUP(A151,'Languages Old'!$A$4:$I$273,3+$A$1)</f>
        <v>Personal kontaktierbar durch:</v>
      </c>
    </row>
    <row r="152" spans="1:3" ht="43.5" x14ac:dyDescent="0.35">
      <c r="A152" s="130">
        <v>149</v>
      </c>
      <c r="B152" s="116" t="str">
        <f>'Languages Old'!D152</f>
        <v>Intercom at pay machine and/or controlled entries (24/7=3, All access hours if not 24/7= 2, Part time/not available = 0)</v>
      </c>
      <c r="C152" s="116" t="str">
        <f>VLOOKUP(A152,'Languages Old'!$A$4:$I$273,3+$A$1)</f>
        <v>Sprechstellen an den Kassenautomaten und/oder an den kontrollierten Zugängen (24h/7=3, während der Öffnungszeiten wenn nicht 24h/24 = 2, zeitweise oder gar nicht = 0)</v>
      </c>
    </row>
    <row r="153" spans="1:3" ht="29" x14ac:dyDescent="0.35">
      <c r="A153" s="130">
        <v>150</v>
      </c>
      <c r="B153" s="116" t="str">
        <f>'Languages Old'!D153</f>
        <v>Emergency call system in parking area (24/7=3, All access hours if not 24/7= 2, Part time/not available = 0)</v>
      </c>
      <c r="C153" s="116" t="str">
        <f>VLOOKUP(A153,'Languages Old'!$A$4:$I$273,3+$A$1)</f>
        <v>Notrufmelder in den Parkebenen (24/7 = 3, während der Öffnungszeiten wenn nicht 24/7 = 2, zeitweise oder gar nicht = 0)</v>
      </c>
    </row>
    <row r="154" spans="1:3" ht="43.5" x14ac:dyDescent="0.35">
      <c r="A154" s="130">
        <v>151</v>
      </c>
      <c r="B154" s="116" t="str">
        <f>'Languages Old'!D154</f>
        <v>Recognizable staff present and patrolling car park
(24/7 = 3, During access Hours = 2, Less than access Hours = 1, No = 0)</v>
      </c>
      <c r="C154" s="116" t="str">
        <f>VLOOKUP(A154,'Languages Old'!$A$4:$I$273,3+$A$1)</f>
        <v>Patroullierendes Parkhauspersonal anwesend
(24/7 = 3, während der Öffnungszeiten wenn nicht 24/7 = 1, gar nicht = 0)</v>
      </c>
    </row>
    <row r="155" spans="1:3" ht="72.5" x14ac:dyDescent="0.35">
      <c r="A155" s="130">
        <v>152</v>
      </c>
      <c r="B155" s="116" t="str">
        <f>'Languages Old'!D155</f>
        <v>Lockable vehicle exit/entry: 
(Closed gate/rolling shutter  after access hours = 2, Secured: fast opening gate during day = 4, Secured: slow opening gate during day = 2, No provisions = 0)</v>
      </c>
      <c r="C155" s="116" t="str">
        <f>VLOOKUP(A155,'Languages Old'!$A$4:$I$273,3+$A$1)</f>
        <v xml:space="preserve">Verschließbare Ein-/Ausfahrten: 
(geschlossene Tore oder Rollgitter außerhalb der Öffnungszeiten = 2, Schnellauftore während der Öffnungszeiten = 4, langsam laufende Tore während der Öffnungszeiten = 2, keine Sicherung = 0)
</v>
      </c>
    </row>
    <row r="156" spans="1:3" ht="58" x14ac:dyDescent="0.35">
      <c r="A156" s="130">
        <v>153</v>
      </c>
      <c r="B156" s="116" t="str">
        <f>'Languages Old'!D156</f>
        <v>Lockable pedestrian exit/entry (after opening hours).
(Door/gate/rolling shutter &lt;= 15cm maximum aperture = 2, over 15 cm = 0, no provisions = 0, Irrelevant (24 hours opening) = 2)</v>
      </c>
      <c r="C156" s="116" t="str">
        <f>VLOOKUP(A156,'Languages Old'!$A$4:$I$273,3+$A$1)</f>
        <v>Verschließbare Ein-/Ausgänge außerhalb der Öffnungszeiten: 
(Türen, Tore oder Rollgitter mit Öffnungen &lt;= 15 cm = 2, &gt; 15 cm = 0, keine Sicherung = 0, unzutreffend (24 Stunden Öffnungszeit) = 2)</v>
      </c>
    </row>
    <row r="157" spans="1:3" ht="43.5" x14ac:dyDescent="0.35">
      <c r="A157" s="130">
        <v>154</v>
      </c>
      <c r="B157" s="116" t="str">
        <f>'Languages Old'!D157</f>
        <v>Grilles on external openings &amp; security grilles
(&lt;= 15 cm = 2, &gt; 15 cm or no protection= 0, Irrelevant (no external openings) = 2)</v>
      </c>
      <c r="C157" s="116" t="str">
        <f>VLOOKUP(A157,'Languages Old'!$A$4:$I$273,3+$A$1)</f>
        <v>Vergitterung von Öffnungen nach außen
(&lt;= 15 cm = 2, &gt; 15 cm oder kein Schutz= 0, unzutreffend (keine Öffnungen) = 2)</v>
      </c>
    </row>
    <row r="158" spans="1:3" x14ac:dyDescent="0.35">
      <c r="A158" s="130">
        <v>155</v>
      </c>
      <c r="B158" s="116" t="str">
        <f>'Languages Old'!D158</f>
        <v>Wayfinding Inside and Outside</v>
      </c>
      <c r="C158" s="116" t="str">
        <f>VLOOKUP(A158,'Languages Old'!$A$4:$I$273,3+$A$1)</f>
        <v>Wegweisung innerhalb und außerhalb des Parkhauses</v>
      </c>
    </row>
    <row r="159" spans="1:3" x14ac:dyDescent="0.35">
      <c r="A159" s="130">
        <v>156</v>
      </c>
      <c r="B159" s="116" t="str">
        <f>'Languages Old'!D159</f>
        <v>Item List</v>
      </c>
      <c r="C159" s="116" t="str">
        <f>VLOOKUP(A159,'Languages Old'!$A$4:$I$273,3+$A$1)</f>
        <v>Positionsliste</v>
      </c>
    </row>
    <row r="160" spans="1:3" x14ac:dyDescent="0.35">
      <c r="A160" s="130">
        <v>157</v>
      </c>
      <c r="B160" s="118" t="str">
        <f>'Languages Old'!D160</f>
        <v>Identification of vacant parking spaces</v>
      </c>
      <c r="C160" s="118" t="str">
        <f>VLOOKUP(A160,'Languages Old'!$A$4:$I$273,3+$A$1)</f>
        <v>Anzeige von freien Stellplätzen</v>
      </c>
    </row>
    <row r="161" spans="1:3" x14ac:dyDescent="0.35">
      <c r="A161" s="130">
        <v>158</v>
      </c>
      <c r="B161" s="121" t="str">
        <f>'Languages Old'!D161</f>
        <v>Parking floor level (yes/good = 2, no/bad = 0)</v>
      </c>
      <c r="C161" s="121" t="str">
        <f>VLOOKUP(A161,'Languages Old'!$A$4:$I$273,3+$A$1)</f>
        <v>Etagenweise (ja/gut = 2, nein/schlecht= 0)</v>
      </c>
    </row>
    <row r="162" spans="1:3" x14ac:dyDescent="0.35">
      <c r="A162" s="130">
        <v>159</v>
      </c>
      <c r="B162" s="121" t="str">
        <f>'Languages Old'!D162</f>
        <v>Parking row (yes/good = 1, no/bad = 0)</v>
      </c>
      <c r="C162" s="121" t="str">
        <f>VLOOKUP(A162,'Languages Old'!$A$4:$I$273,3+$A$1)</f>
        <v>Gassenweise (ja/gut = 1, nein/schlecht= 0)</v>
      </c>
    </row>
    <row r="163" spans="1:3" x14ac:dyDescent="0.35">
      <c r="A163" s="130">
        <v>160</v>
      </c>
      <c r="B163" s="121" t="str">
        <f>'Languages Old'!D163</f>
        <v>Individual stall indication (yes/good = 2, no/bad = 0)</v>
      </c>
      <c r="C163" s="121" t="str">
        <f>VLOOKUP(A163,'Languages Old'!$A$4:$I$273,3+$A$1)</f>
        <v>Platzweise (ja/gut = 2, nein/schlecht= 0)</v>
      </c>
    </row>
    <row r="164" spans="1:3" x14ac:dyDescent="0.35">
      <c r="A164" s="130">
        <v>161</v>
      </c>
      <c r="B164" s="118" t="str">
        <f>'Languages Old'!D164</f>
        <v>Way finding (vehicles)</v>
      </c>
      <c r="C164" s="118" t="str">
        <f>VLOOKUP(A164,'Languages Old'!$A$4:$I$273,3+$A$1)</f>
        <v>Wegweisung für den fahrenden Verkehr</v>
      </c>
    </row>
    <row r="165" spans="1:3" ht="25" x14ac:dyDescent="0.35">
      <c r="A165" s="130">
        <v>162</v>
      </c>
      <c r="B165" s="119" t="str">
        <f>'Languages Old'!D165</f>
        <v>Are floors clearly and separately identified for drivers? (Good =3, Adequate =2, Poor =1, No =0)</v>
      </c>
      <c r="C165" s="119" t="str">
        <f>VLOOKUP(A165,'Languages Old'!$A$4:$I$273,3+$A$1)</f>
        <v>Sind die Etagen für den Fahrer klar und deutlich gekennzeichnet? (gut =3, befriedigend =2, schlecht =1, gar nicht =0)</v>
      </c>
    </row>
    <row r="166" spans="1:3" ht="25" x14ac:dyDescent="0.35">
      <c r="A166" s="130">
        <v>163</v>
      </c>
      <c r="B166" s="119" t="str">
        <f>'Languages Old'!D166</f>
        <v>Are sub-areas of floors clearly identified for drivers? (Good =3, Adequate =2, Poor =1, No =0)</v>
      </c>
      <c r="C166" s="119" t="str">
        <f>VLOOKUP(A166,'Languages Old'!$A$4:$I$273,3+$A$1)</f>
        <v>Sind einzelne Bereiche für den Fahrer klar und deutlich gekennzeichnet? (gut =3, befriedigend =2, schlecht =1, gar nicht =0)</v>
      </c>
    </row>
    <row r="167" spans="1:3" ht="62.5" x14ac:dyDescent="0.35">
      <c r="A167" s="130">
        <v>164</v>
      </c>
      <c r="B167" s="118" t="str">
        <f>'Languages Old'!D167</f>
        <v>Are fire escapes and escape routes clearly marked
• Clear from all locations = 3
• most locations= 2
• some locations=1
• No marking of escape routes=0)</v>
      </c>
      <c r="C167" s="118" t="str">
        <f>VLOOKUP(A167,'Languages Old'!$A$4:$I$273,3+$A$1)</f>
        <v>Sind die Notausgänge und Rettungswege klar und deutlich gekennzeichnet?
(an allen Standorten = 3, an den meisten Standorten = 2, nur an einigen Standorten = 1, keine Kennzeichnung der Rettungswege = 0)</v>
      </c>
    </row>
    <row r="168" spans="1:3" ht="37.5" x14ac:dyDescent="0.35">
      <c r="A168" s="130">
        <v>165</v>
      </c>
      <c r="B168" s="118" t="str">
        <f>'Languages Old'!D168</f>
        <v>Are floor levels clearly marked?
(good =3, adequate=2, poor=1, none =0. Single level car parks = 3)</v>
      </c>
      <c r="C168" s="118" t="str">
        <f>VLOOKUP(A168,'Languages Old'!$A$4:$I$273,3+$A$1)</f>
        <v>Sind die einzelnen Parkebenen klar und deutlich gekennzeichnet?
(gut = 3, befriedigend = 2, schlecht = 1, gar nicht = 0., unzutreffend, da nur 1 Geschoss = 3)</v>
      </c>
    </row>
    <row r="169" spans="1:3" ht="37.5" x14ac:dyDescent="0.35">
      <c r="A169" s="130">
        <v>166</v>
      </c>
      <c r="B169" s="118" t="str">
        <f>'Languages Old'!D169</f>
        <v>Is there additional signing or prompts to orient the pedestrian on the parking deck
(good =2, some =1, none = 0)</v>
      </c>
      <c r="C169" s="118" t="str">
        <f>VLOOKUP(A169,'Languages Old'!$A$4:$I$273,3+$A$1)</f>
        <v>Gibt es zusätzliche Schilder oder Anzeigen zur Verbesserung der Orientierung der Fußgänger?
(gut = 2, einige = 1, keine = 0)</v>
      </c>
    </row>
    <row r="170" spans="1:3" ht="37.5" x14ac:dyDescent="0.35">
      <c r="A170" s="130">
        <v>167</v>
      </c>
      <c r="B170" s="118" t="str">
        <f>'Languages Old'!D170</f>
        <v>Are parking spaces individually numbered
(Numbered including floor identification =2, Just numbers =1, none =0)</v>
      </c>
      <c r="C170" s="118" t="str">
        <f>VLOOKUP(A170,'Languages Old'!$A$4:$I$273,3+$A$1)</f>
        <v>Sind die Stellplätze einzeln nummeriert?
(nummeriert mit Geschoßbezeichnung = 2, nur nummeriert = 1, nicht = 0)</v>
      </c>
    </row>
    <row r="171" spans="1:3" ht="25" x14ac:dyDescent="0.35">
      <c r="A171" s="130">
        <v>168</v>
      </c>
      <c r="B171" s="118" t="str">
        <f>'Languages Old'!D171</f>
        <v>Use of colours for  way finding
(Yes= 1, No= 0)</v>
      </c>
      <c r="C171" s="118" t="str">
        <f>VLOOKUP(A171,'Languages Old'!$A$4:$I$273,3+$A$1)</f>
        <v>Verwendung von Farben zur Orientierung
(ja = 1, nein = 0)</v>
      </c>
    </row>
    <row r="172" spans="1:3" x14ac:dyDescent="0.35">
      <c r="A172" s="130">
        <v>169</v>
      </c>
      <c r="B172" s="118" t="str">
        <f>'Languages Old'!D172</f>
        <v>Guidance sign posting for cars on roads to car park</v>
      </c>
      <c r="C172" s="118" t="str">
        <f>VLOOKUP(A172,'Languages Old'!$A$4:$I$273,3+$A$1)</f>
        <v>Parkleitsystem</v>
      </c>
    </row>
    <row r="173" spans="1:3" x14ac:dyDescent="0.35">
      <c r="A173" s="130">
        <v>170</v>
      </c>
      <c r="B173" s="119" t="str">
        <f>'Languages Old'!D173</f>
        <v>Static sign system only (Yes = 1, No = 0)</v>
      </c>
      <c r="C173" s="119" t="str">
        <f>VLOOKUP(A173,'Languages Old'!$A$4:$I$273,3+$A$1)</f>
        <v>Statisch (ja = 1, nein = 0)</v>
      </c>
    </row>
    <row r="174" spans="1:3" x14ac:dyDescent="0.35">
      <c r="A174" s="130">
        <v>171</v>
      </c>
      <c r="B174" s="119" t="str">
        <f>'Languages Old'!D174</f>
        <v>Dynamic sign system additionally (Yes = 1, No = 0)</v>
      </c>
      <c r="C174" s="119" t="str">
        <f>VLOOKUP(A174,'Languages Old'!$A$4:$I$273,3+$A$1)</f>
        <v>Dynamisch (ja = 1, nein = 0)</v>
      </c>
    </row>
    <row r="175" spans="1:3" x14ac:dyDescent="0.35">
      <c r="A175" s="130">
        <v>172</v>
      </c>
      <c r="B175" s="118" t="str">
        <f>'Languages Old'!D175</f>
        <v>Illuminated signage at car park entrance</v>
      </c>
      <c r="C175" s="118" t="str">
        <f>VLOOKUP(A175,'Languages Old'!$A$4:$I$273,3+$A$1)</f>
        <v>Beleuchtete Anzeige an der Einfahrt</v>
      </c>
    </row>
    <row r="176" spans="1:3" x14ac:dyDescent="0.35">
      <c r="A176" s="130">
        <v>173</v>
      </c>
      <c r="B176" s="121" t="str">
        <f>'Languages Old'!D176</f>
        <v>Signal green arrow, red cross for direction (Yes = 1, No = 0)</v>
      </c>
      <c r="C176" s="121" t="str">
        <f>VLOOKUP(A176,'Languages Old'!$A$4:$I$273,3+$A$1)</f>
        <v>Grüner Pfeil/rotes Kreuz-Anzeige (ja = 1, nein = 0)</v>
      </c>
    </row>
    <row r="177" spans="1:3" x14ac:dyDescent="0.35">
      <c r="A177" s="130">
        <v>174</v>
      </c>
      <c r="B177" s="121" t="str">
        <f>'Languages Old'!D177</f>
        <v>Signal full/free (Yes = 1, No = 0)</v>
      </c>
      <c r="C177" s="121" t="str">
        <f>VLOOKUP(A177,'Languages Old'!$A$4:$I$273,3+$A$1)</f>
        <v>Frei/Besetzt-Anzeige (ja = 1, nein = 0)</v>
      </c>
    </row>
    <row r="178" spans="1:3" x14ac:dyDescent="0.35">
      <c r="A178" s="130">
        <v>175</v>
      </c>
      <c r="B178" s="121" t="str">
        <f>'Languages Old'!D178</f>
        <v>Signage at pedestrian entrance (Yes = 1, No = 0)</v>
      </c>
      <c r="C178" s="121" t="str">
        <f>VLOOKUP(A178,'Languages Old'!$A$4:$I$273,3+$A$1)</f>
        <v>Anzeige an den Fußgängerzugängen (ja = 1, nein = 0)</v>
      </c>
    </row>
    <row r="179" spans="1:3" x14ac:dyDescent="0.35">
      <c r="A179" s="130">
        <v>176</v>
      </c>
      <c r="B179" s="122" t="str">
        <f>'Languages Old'!D179</f>
        <v>Comfort and Miscellaneous</v>
      </c>
      <c r="C179" s="122" t="str">
        <f>VLOOKUP(A179,'Languages Old'!$A$4:$I$273,3+$A$1)</f>
        <v>Komfort und verschiedenes</v>
      </c>
    </row>
    <row r="180" spans="1:3" x14ac:dyDescent="0.35">
      <c r="A180" s="130">
        <v>177</v>
      </c>
      <c r="B180" s="118" t="str">
        <f>'Languages Old'!D180</f>
        <v>Notice-board at pedestrian entrance/exit showing:</v>
      </c>
      <c r="C180" s="118" t="str">
        <f>VLOOKUP(A180,'Languages Old'!$A$4:$I$273,3+$A$1)</f>
        <v>Hinweisschild an den Fußgängerzugängen bezüglich :</v>
      </c>
    </row>
    <row r="181" spans="1:3" x14ac:dyDescent="0.35">
      <c r="A181" s="130">
        <v>178</v>
      </c>
      <c r="B181" s="121" t="str">
        <f>'Languages Old'!D181</f>
        <v>Access hours normal/special (yes = 1, no = 0)</v>
      </c>
      <c r="C181" s="121" t="str">
        <f>VLOOKUP(A181,'Languages Old'!$A$4:$I$273,3+$A$1)</f>
        <v>Öffnungszeiten übliche/besondere (ja = 1, nein = 0)</v>
      </c>
    </row>
    <row r="182" spans="1:3" x14ac:dyDescent="0.35">
      <c r="A182" s="130">
        <v>179</v>
      </c>
      <c r="B182" s="121" t="str">
        <f>'Languages Old'!D182</f>
        <v>Readable &amp; understandable tariff board (yes = 1, no = 0)</v>
      </c>
      <c r="C182" s="121" t="str">
        <f>VLOOKUP(A182,'Languages Old'!$A$4:$I$273,3+$A$1)</f>
        <v>Lesbare und verständliche Anzeige der Parktarife (ja = 1, nein = 0)</v>
      </c>
    </row>
    <row r="183" spans="1:3" x14ac:dyDescent="0.35">
      <c r="A183" s="130">
        <v>180</v>
      </c>
      <c r="B183" s="121" t="str">
        <f>'Languages Old'!D183</f>
        <v>Operators terms and conditions (yes = 1, no = 0)</v>
      </c>
      <c r="C183" s="121" t="str">
        <f>VLOOKUP(A183,'Languages Old'!$A$4:$I$273,3+$A$1)</f>
        <v>Einstellbedingungen (ja = 1, nein = 0)</v>
      </c>
    </row>
    <row r="184" spans="1:3" x14ac:dyDescent="0.35">
      <c r="A184" s="130">
        <v>181</v>
      </c>
      <c r="B184" s="118" t="str">
        <f>'Languages Old'!D184</f>
        <v>Payment options (pay at exit/pay at pay station):</v>
      </c>
      <c r="C184" s="118" t="str">
        <f>VLOOKUP(A184,'Languages Old'!$A$4:$I$273,3+$A$1)</f>
        <v>Bezahlmöglichkeiten (Zahlung am Ein-/Ausgang/am Kassenautomat):</v>
      </c>
    </row>
    <row r="185" spans="1:3" x14ac:dyDescent="0.35">
      <c r="A185" s="130">
        <v>182</v>
      </c>
      <c r="B185" s="121" t="str">
        <f>'Languages Old'!D185</f>
        <v>Accepts coins? (yes =1, no =0)</v>
      </c>
      <c r="C185" s="121" t="str">
        <f>VLOOKUP(A185,'Languages Old'!$A$4:$I$273,3+$A$1)</f>
        <v>Münzzahlung? (ja = 1, nein = 0)</v>
      </c>
    </row>
    <row r="186" spans="1:3" x14ac:dyDescent="0.35">
      <c r="A186" s="130">
        <v>183</v>
      </c>
      <c r="B186" s="121" t="str">
        <f>'Languages Old'!D186</f>
        <v>Change given? (yes =1, no =0)</v>
      </c>
      <c r="C186" s="121" t="str">
        <f>VLOOKUP(A186,'Languages Old'!$A$4:$I$273,3+$A$1)</f>
        <v>Wechselgeld? (ja = 1, nein = 0)</v>
      </c>
    </row>
    <row r="187" spans="1:3" x14ac:dyDescent="0.35">
      <c r="A187" s="130">
        <v>184</v>
      </c>
      <c r="B187" s="121" t="str">
        <f>'Languages Old'!D187</f>
        <v>Accepts banknotes?  (yes =1, no =0)</v>
      </c>
      <c r="C187" s="121" t="str">
        <f>VLOOKUP(A187,'Languages Old'!$A$4:$I$273,3+$A$1)</f>
        <v>Banknoten?  (ja = 1, nein = 0)</v>
      </c>
    </row>
    <row r="188" spans="1:3" x14ac:dyDescent="0.35">
      <c r="A188" s="130">
        <v>185</v>
      </c>
      <c r="B188" s="121" t="str">
        <f>'Languages Old'!D188</f>
        <v>Accepts bank cards?  (yes =1, no =0)</v>
      </c>
      <c r="C188" s="121" t="str">
        <f>VLOOKUP(A188,'Languages Old'!$A$4:$I$273,3+$A$1)</f>
        <v>Kreditkarten?  (ja = 1, nein = 0)</v>
      </c>
    </row>
    <row r="189" spans="1:3" x14ac:dyDescent="0.35">
      <c r="A189" s="130">
        <v>186</v>
      </c>
      <c r="B189" s="121" t="str">
        <f>'Languages Old'!D189</f>
        <v>Payment by smart phone? (yes =1, no =0)</v>
      </c>
      <c r="C189" s="121" t="str">
        <f>VLOOKUP(A189,'Languages Old'!$A$4:$I$273,3+$A$1)</f>
        <v>Zahlung per Mobiltelefon? (ja = 1, nein = 0)</v>
      </c>
    </row>
    <row r="190" spans="1:3" x14ac:dyDescent="0.35">
      <c r="A190" s="130">
        <v>187</v>
      </c>
      <c r="B190" s="121" t="str">
        <f>'Languages Old'!D190</f>
        <v>Payment by card/phone at exit? (yes =1, no =0)</v>
      </c>
      <c r="C190" s="121" t="str">
        <f>VLOOKUP(A190,'Languages Old'!$A$4:$I$273,3+$A$1)</f>
        <v>Karten-/Handyzahlung am Ausgang? (ja = 1, nein = 0)</v>
      </c>
    </row>
    <row r="191" spans="1:3" x14ac:dyDescent="0.35">
      <c r="A191" s="130">
        <v>188</v>
      </c>
      <c r="B191" s="121" t="str">
        <f>'Languages Old'!D191</f>
        <v>ID &amp; payment by LPR? (yes =1, no =0)</v>
      </c>
      <c r="C191" s="121" t="str">
        <f>VLOOKUP(A191,'Languages Old'!$A$4:$I$273,3+$A$1)</f>
        <v>Identifikation und Zahlung per Kennzeichenerkennung? (ja = 1, nein = 0)</v>
      </c>
    </row>
    <row r="192" spans="1:3" ht="25" x14ac:dyDescent="0.35">
      <c r="A192" s="130">
        <v>189</v>
      </c>
      <c r="B192" s="121" t="str">
        <f>'Languages Old'!D192</f>
        <v>Accepts other cards: How many? (1 point per additional option up to 3)</v>
      </c>
      <c r="C192" s="121" t="str">
        <f>VLOOKUP(A192,'Languages Old'!$A$4:$I$273,3+$A$1)</f>
        <v>Akzeptanz anderer Karten: Wie viele? (1 Punkt je zusätzlicher Option bis 3 Punkte)</v>
      </c>
    </row>
    <row r="193" spans="1:3" x14ac:dyDescent="0.35">
      <c r="A193" s="130">
        <v>190</v>
      </c>
      <c r="B193" s="118" t="str">
        <f>'Languages Old'!D193</f>
        <v>Payment at staffed desk: (yes = 1, no = 0)</v>
      </c>
      <c r="C193" s="118" t="str">
        <f>VLOOKUP(A193,'Languages Old'!$A$4:$I$273,3+$A$1)</f>
        <v>Zahlung an besetzter Kasse: (ja = 1, nein = 0)</v>
      </c>
    </row>
    <row r="194" spans="1:3" ht="25" x14ac:dyDescent="0.35">
      <c r="A194" s="130">
        <v>191</v>
      </c>
      <c r="B194" s="118" t="str">
        <f>'Languages Old'!D194</f>
        <v>Is this a Pay and Display Car Park?</v>
      </c>
      <c r="C194" s="118" t="str">
        <f>VLOOKUP(A194,'Languages Old'!$A$4:$I$273,3+$A$1)</f>
        <v>Handelt es sich um ein Parkhaus ohne Schranken? (mit Parkscheinautomaten)?</v>
      </c>
    </row>
    <row r="195" spans="1:3" ht="50" x14ac:dyDescent="0.35">
      <c r="A195" s="130">
        <v>192</v>
      </c>
      <c r="B195" s="119" t="str">
        <f>'Languages Old'!D195</f>
        <v>Number of Pay points for Barrier controlled car parks:
(One pay station = 0,  More than one =1, One at each pedestrian entrance, excluding fire escapes =2, More than one at each pedestrian entrance =3)</v>
      </c>
      <c r="C195" s="119" t="str">
        <f>VLOOKUP(A195,'Languages Old'!$A$4:$I$273,3+$A$1)</f>
        <v>Anzahl der Bezahlstationen für beschrankte Parkhäuser:
(eine = 0, mehr als eine = 1, eine an jedem Fußgängerzugang (außer Notausgänge) = 2, eine an jedem Fußgängerzugang = 3)</v>
      </c>
    </row>
    <row r="196" spans="1:3" ht="37.5" x14ac:dyDescent="0.35">
      <c r="A196" s="130">
        <v>193</v>
      </c>
      <c r="B196" s="119" t="str">
        <f>'Languages Old'!D196</f>
        <v>Number of Pay points for Pay and Display Car Parks
(One =0, &lt; 1 for every 50 spaces =2, &gt;1 for every 50 spaces =3)</v>
      </c>
      <c r="C196" s="119" t="str">
        <f>VLOOKUP(A196,'Languages Old'!$A$4:$I$273,3+$A$1)</f>
        <v>Anzahl der Parkscheinautomaten für unbeschrankte Parkhäuser:
(einer = 0, weniger als einer pro 50 Stellplätze = 1, mehr als einer pro 50 Stellplätze = 3)</v>
      </c>
    </row>
    <row r="197" spans="1:3" x14ac:dyDescent="0.35">
      <c r="A197" s="130">
        <v>194</v>
      </c>
      <c r="B197" s="118" t="str">
        <f>'Languages Old'!D197</f>
        <v>Customer toilets:</v>
      </c>
      <c r="C197" s="118" t="str">
        <f>VLOOKUP(A197,'Languages Old'!$A$4:$I$273,3+$A$1)</f>
        <v>Öffentliche Toiletten:</v>
      </c>
    </row>
    <row r="198" spans="1:3" x14ac:dyDescent="0.35">
      <c r="A198" s="130">
        <v>195</v>
      </c>
      <c r="B198" s="121" t="str">
        <f>'Languages Old'!D198</f>
        <v>Exist? (yes= 2, no= 0)</v>
      </c>
      <c r="C198" s="121" t="str">
        <f>VLOOKUP(A198,'Languages Old'!$A$4:$I$273,3+$A$1)</f>
        <v>Vorhanden? (ja = 2, nein = 0)</v>
      </c>
    </row>
    <row r="199" spans="1:3" x14ac:dyDescent="0.35">
      <c r="A199" s="130">
        <v>196</v>
      </c>
      <c r="B199" s="121" t="str">
        <f>'Languages Old'!D199</f>
        <v>Disabled toilet? (yes=1, no= 0)</v>
      </c>
      <c r="C199" s="121" t="str">
        <f>VLOOKUP(A199,'Languages Old'!$A$4:$I$273,3+$A$1)</f>
        <v>Behindertentoilette? (ja = 1, nein = 0)</v>
      </c>
    </row>
    <row r="200" spans="1:3" x14ac:dyDescent="0.35">
      <c r="A200" s="130">
        <v>197</v>
      </c>
      <c r="B200" s="121" t="str">
        <f>'Languages Old'!D200</f>
        <v>unisex = 0, male/female separated = 1</v>
      </c>
      <c r="C200" s="121" t="str">
        <f>VLOOKUP(A200,'Languages Old'!$A$4:$I$273,3+$A$1)</f>
        <v>Toiletten unisex= 0, Frauen/Männer getrennt = 1</v>
      </c>
    </row>
    <row r="201" spans="1:3" x14ac:dyDescent="0.35">
      <c r="A201" s="130">
        <v>198</v>
      </c>
      <c r="B201" s="121" t="str">
        <f>'Languages Old'!D201</f>
        <v>attendant: yes=1, no= 0</v>
      </c>
      <c r="C201" s="121" t="str">
        <f>VLOOKUP(A201,'Languages Old'!$A$4:$I$273,3+$A$1)</f>
        <v>Toilettenaufseher(-in): ja = 1, nein = 0</v>
      </c>
    </row>
    <row r="202" spans="1:3" x14ac:dyDescent="0.35">
      <c r="A202" s="130">
        <v>199</v>
      </c>
      <c r="B202" s="118" t="str">
        <f>'Languages Old'!D202</f>
        <v>Use of colours/ embellishing works</v>
      </c>
      <c r="C202" s="118" t="str">
        <f>VLOOKUP(A202,'Languages Old'!$A$4:$I$273,3+$A$1)</f>
        <v>Verwendung von Farben / Verschönerungen</v>
      </c>
    </row>
    <row r="203" spans="1:3" x14ac:dyDescent="0.35">
      <c r="A203" s="130">
        <v>200</v>
      </c>
      <c r="B203" s="119" t="str">
        <f>'Languages Old'!D203</f>
        <v>Coloured pillars =1, no/concrete grey = 0</v>
      </c>
      <c r="C203" s="119" t="str">
        <f>VLOOKUP(A203,'Languages Old'!$A$4:$I$273,3+$A$1)</f>
        <v>Farbige Stützen = 1, nein, betongrau = 0</v>
      </c>
    </row>
    <row r="204" spans="1:3" x14ac:dyDescent="0.35">
      <c r="A204" s="130">
        <v>201</v>
      </c>
      <c r="B204" s="119" t="str">
        <f>'Languages Old'!D204</f>
        <v>Coloured walls =1, no/concrete grey = 0</v>
      </c>
      <c r="C204" s="119" t="str">
        <f>VLOOKUP(A204,'Languages Old'!$A$4:$I$273,3+$A$1)</f>
        <v>Farbige Wände = 1, nein, betongrau = 0</v>
      </c>
    </row>
    <row r="205" spans="1:3" x14ac:dyDescent="0.35">
      <c r="A205" s="130">
        <v>202</v>
      </c>
      <c r="B205" s="118" t="str">
        <f>'Languages Old'!D205</f>
        <v>Extra embellishment</v>
      </c>
      <c r="C205" s="118" t="str">
        <f>VLOOKUP(A205,'Languages Old'!$A$4:$I$273,3+$A$1)</f>
        <v>Besondere verschönernde Elemente:</v>
      </c>
    </row>
    <row r="206" spans="1:3" x14ac:dyDescent="0.35">
      <c r="A206" s="130">
        <v>203</v>
      </c>
      <c r="B206" s="121" t="str">
        <f>'Languages Old'!D206</f>
        <v xml:space="preserve"> Artwork: (Yes = 2, No = 0)</v>
      </c>
      <c r="C206" s="121" t="str">
        <f>VLOOKUP(A206,'Languages Old'!$A$4:$I$273,3+$A$1)</f>
        <v>Kunstwerke: (ja = 2, nein = 0)</v>
      </c>
    </row>
    <row r="207" spans="1:3" x14ac:dyDescent="0.35">
      <c r="A207" s="130">
        <v>204</v>
      </c>
      <c r="B207" s="121" t="str">
        <f>'Languages Old'!D207</f>
        <v>Planters: (Yes = 1, No = 0)</v>
      </c>
      <c r="C207" s="121" t="str">
        <f>VLOOKUP(A207,'Languages Old'!$A$4:$I$273,3+$A$1)</f>
        <v>Pflanzen: (ja = 1, nein = 0)</v>
      </c>
    </row>
    <row r="208" spans="1:3" x14ac:dyDescent="0.35">
      <c r="A208" s="130">
        <v>205</v>
      </c>
      <c r="B208" s="121" t="str">
        <f>'Languages Old'!D208</f>
        <v>Other: (Yes = 1, No = 0)</v>
      </c>
      <c r="C208" s="121" t="str">
        <f>VLOOKUP(A208,'Languages Old'!$A$4:$I$273,3+$A$1)</f>
        <v>Sonstiges: (ja = 1, nein = 0)</v>
      </c>
    </row>
    <row r="209" spans="1:3" x14ac:dyDescent="0.35">
      <c r="A209" s="130">
        <v>206</v>
      </c>
      <c r="B209" s="118" t="str">
        <f>'Languages Old'!D209</f>
        <v>Mobile phone coverage (Yes = 2, No = 0)</v>
      </c>
      <c r="C209" s="118" t="str">
        <f>VLOOKUP(A209,'Languages Old'!$A$4:$I$273,3+$A$1)</f>
        <v>Handyempfang (ja = 2, nein = 0)</v>
      </c>
    </row>
    <row r="210" spans="1:3" x14ac:dyDescent="0.35">
      <c r="A210" s="130">
        <v>207</v>
      </c>
      <c r="B210" s="118" t="str">
        <f>'Languages Old'!D210</f>
        <v>Continuity of radio signals (Yes = 1, No = 0)</v>
      </c>
      <c r="C210" s="118" t="str">
        <f>VLOOKUP(A210,'Languages Old'!$A$4:$I$273,3+$A$1)</f>
        <v>Radioemfang (ja = 1, nein = 0)</v>
      </c>
    </row>
    <row r="211" spans="1:3" x14ac:dyDescent="0.35">
      <c r="A211" s="130">
        <v>208</v>
      </c>
      <c r="B211" s="118" t="str">
        <f>'Languages Old'!D211</f>
        <v>Music</v>
      </c>
      <c r="C211" s="118" t="str">
        <f>VLOOKUP(A211,'Languages Old'!$A$4:$I$273,3+$A$1)</f>
        <v>Musik</v>
      </c>
    </row>
    <row r="212" spans="1:3" x14ac:dyDescent="0.35">
      <c r="A212" s="130">
        <v>209</v>
      </c>
      <c r="B212" s="119" t="str">
        <f>'Languages Old'!D212</f>
        <v>Background music: yes = 2, No = 0</v>
      </c>
      <c r="C212" s="119" t="str">
        <f>VLOOKUP(A212,'Languages Old'!$A$4:$I$273,3+$A$1)</f>
        <v>Hintergrundmusik:  ja = 2, nein = 0</v>
      </c>
    </row>
    <row r="213" spans="1:3" ht="25" x14ac:dyDescent="0.35">
      <c r="A213" s="130">
        <v>210</v>
      </c>
      <c r="B213" s="119" t="str">
        <f>'Languages Old'!D213</f>
        <v>Differentiation for way finding :  yes =1, No = 0</v>
      </c>
      <c r="C213" s="119" t="str">
        <f>VLOOKUP(A213,'Languages Old'!$A$4:$I$273,3+$A$1)</f>
        <v>Maßnahmen zur Erleichterung der Orientierung im Parkhaus:  ja = 1, nein = 0</v>
      </c>
    </row>
    <row r="214" spans="1:3" x14ac:dyDescent="0.35">
      <c r="A214" s="130">
        <v>211</v>
      </c>
      <c r="B214" s="116" t="str">
        <f>'Languages Old'!D214</f>
        <v>Energy and Environment</v>
      </c>
      <c r="C214" s="116" t="str">
        <f>VLOOKUP(A214,'Languages Old'!$A$4:$I$273,3+$A$1)</f>
        <v>Energie und Umwelt</v>
      </c>
    </row>
    <row r="215" spans="1:3" x14ac:dyDescent="0.35">
      <c r="A215" s="130">
        <v>212</v>
      </c>
      <c r="B215" s="116" t="str">
        <f>'Languages Old'!D215</f>
        <v>Energy Saving Lighting Systems</v>
      </c>
      <c r="C215" s="116" t="str">
        <f>VLOOKUP(A215,'Languages Old'!$A$4:$I$273,3+$A$1)</f>
        <v>Energiesparende Beleuchtung</v>
      </c>
    </row>
    <row r="216" spans="1:3" x14ac:dyDescent="0.35">
      <c r="A216" s="130">
        <v>213</v>
      </c>
      <c r="B216" s="116" t="str">
        <f>'Languages Old'!D216</f>
        <v>Power Factor Compensation (Yes=1, No=0)</v>
      </c>
      <c r="C216" s="116" t="str">
        <f>VLOOKUP(A216,'Languages Old'!$A$4:$I$273,3+$A$1)</f>
        <v>Elektronische Vorschaltgeräte (EVG) (ja = 1, nein = 0)</v>
      </c>
    </row>
    <row r="217" spans="1:3" x14ac:dyDescent="0.35">
      <c r="A217" s="130">
        <v>214</v>
      </c>
      <c r="B217" s="116" t="str">
        <f>'Languages Old'!D217</f>
        <v>Other Systems (Yes=1, No=0)</v>
      </c>
      <c r="C217" s="116" t="str">
        <f>VLOOKUP(A217,'Languages Old'!$A$4:$I$273,3+$A$1)</f>
        <v>Andere Systeme (ja = 1, nein = 0)</v>
      </c>
    </row>
    <row r="218" spans="1:3" ht="29" x14ac:dyDescent="0.35">
      <c r="A218" s="130">
        <v>215</v>
      </c>
      <c r="B218" s="116" t="str">
        <f>'Languages Old'!D218</f>
        <v>Movement detection variable lights, remaining quality (yes= 2, no= 0)</v>
      </c>
      <c r="C218" s="116" t="str">
        <f>VLOOKUP(A218,'Languages Old'!$A$4:$I$273,3+$A$1)</f>
        <v>Bewegungsgesteuerte Beleuchtung (ja = 2, nein = 0)</v>
      </c>
    </row>
    <row r="219" spans="1:3" ht="43.5" x14ac:dyDescent="0.35">
      <c r="A219" s="130">
        <v>216</v>
      </c>
      <c r="B219" s="116" t="str">
        <f>'Languages Old'!D219</f>
        <v>Adaptable lighting for daylight compensation at entrance area 
(yes= 2, no= 0)</v>
      </c>
      <c r="C219" s="116" t="str">
        <f>VLOOKUP(A219,'Languages Old'!$A$4:$I$273,3+$A$1)</f>
        <v>Adaptionsstrecke an der Einfahrt.
(ja = 2, nein = 0)</v>
      </c>
    </row>
    <row r="220" spans="1:3" ht="43.5" x14ac:dyDescent="0.35">
      <c r="A220" s="130">
        <v>217</v>
      </c>
      <c r="B220" s="116" t="str">
        <f>'Languages Old'!D220</f>
        <v>Adaptable lighting for ambient light conditions at parking floor from daylight
(yes= 2, no= 0, Irrelevant (below ground) =2)</v>
      </c>
      <c r="C220" s="116" t="str">
        <f>VLOOKUP(A220,'Languages Old'!$A$4:$I$273,3+$A$1)</f>
        <v>An das Tageslicht anpassbare Beleuchtung der Parkebenen (z.B. Dämmerungsschalter)
(ja = 2, nein = 0, unzutreffend (Tiefgarage) = 2)</v>
      </c>
    </row>
    <row r="221" spans="1:3" ht="29" x14ac:dyDescent="0.35">
      <c r="A221" s="130">
        <v>218</v>
      </c>
      <c r="B221" s="116" t="str">
        <f>'Languages Old'!D221</f>
        <v>Solar panels on the roof or other green energy initiatives (yes= 2, no= 0)</v>
      </c>
      <c r="C221" s="116" t="str">
        <f>VLOOKUP(A221,'Languages Old'!$A$4:$I$273,3+$A$1)</f>
        <v>Photovoltaik oder andere umweltfreundliche energetische Initiativen (ja = 2, nein = 0)</v>
      </c>
    </row>
    <row r="222" spans="1:3" ht="29" x14ac:dyDescent="0.35">
      <c r="A222" s="130">
        <v>219</v>
      </c>
      <c r="B222" s="116" t="str">
        <f>'Languages Old'!D222</f>
        <v>Special treatment of cleaning water:
•  yes= 2, no= 0</v>
      </c>
      <c r="C222" s="116" t="str">
        <f>VLOOKUP(A222,'Languages Old'!$A$4:$I$273,3+$A$1)</f>
        <v>Spezielle Behandlung von Schmutzwasser:
•  ja = 2, nein = 0</v>
      </c>
    </row>
    <row r="223" spans="1:3" ht="43.5" x14ac:dyDescent="0.35">
      <c r="A223" s="130">
        <v>220</v>
      </c>
      <c r="B223" s="116" t="str">
        <f>'Languages Old'!D223</f>
        <v xml:space="preserve">Grey water or re-use of rain water
•  yes= 2, no= 0
</v>
      </c>
      <c r="C223" s="116" t="str">
        <f>VLOOKUP(A223,'Languages Old'!$A$4:$I$273,3+$A$1)</f>
        <v>Verwendung von Regenwasser als Brauchwasser (z.B. zur Reinigung oder Toilettenspülung)
•  ja = 2, nein = 0</v>
      </c>
    </row>
    <row r="224" spans="1:3" ht="29" x14ac:dyDescent="0.35">
      <c r="A224" s="130">
        <v>221</v>
      </c>
      <c r="B224" s="116" t="str">
        <f>'Languages Old'!D224</f>
        <v>Electric Vehicles recharging points: (Yes, more than one= 2, One recharging point=1, None=0)</v>
      </c>
      <c r="C224" s="116" t="str">
        <f>VLOOKUP(A224,'Languages Old'!$A$4:$I$273,3+$A$1)</f>
        <v>Ladestationen für Elektrofahrzeuge: (ja, mehrere = 2, eine = 1, keine = 0)</v>
      </c>
    </row>
    <row r="225" spans="1:3" ht="29" x14ac:dyDescent="0.35">
      <c r="A225" s="130">
        <v>222</v>
      </c>
      <c r="B225" s="116" t="str">
        <f>'Languages Old'!D225</f>
        <v>Car sharing and similar initiatives
•  yes= 2, no= 0</v>
      </c>
      <c r="C225" s="116" t="str">
        <f>VLOOKUP(A225,'Languages Old'!$A$4:$I$273,3+$A$1)</f>
        <v>Car Sharing oder ähnliche Angebote
•  ja = 2, nein = 0</v>
      </c>
    </row>
    <row r="226" spans="1:3" ht="29" x14ac:dyDescent="0.35">
      <c r="A226" s="130">
        <v>223</v>
      </c>
      <c r="B226" s="116" t="str">
        <f>'Languages Old'!D226</f>
        <v>Other environmental or zero emission  initiatives
•  yes= 2, no= 0</v>
      </c>
      <c r="C226" s="116" t="str">
        <f>VLOOKUP(A226,'Languages Old'!$A$4:$I$273,3+$A$1)</f>
        <v>Andere umweltfreundliche Initiativen, z.B. zur CO²-Reduzierung
•  ja = 2, nein = 0</v>
      </c>
    </row>
    <row r="227" spans="1:3" x14ac:dyDescent="0.35">
      <c r="A227" s="130">
        <v>224</v>
      </c>
      <c r="B227" s="116" t="str">
        <f>'Languages Old'!D227</f>
        <v>Minus Points</v>
      </c>
      <c r="C227" s="116" t="str">
        <f>VLOOKUP(A227,'Languages Old'!$A$4:$I$273,3+$A$1)</f>
        <v>Minuspunkte</v>
      </c>
    </row>
    <row r="228" spans="1:3" x14ac:dyDescent="0.35">
      <c r="A228" s="130">
        <v>225</v>
      </c>
      <c r="B228" s="116" t="str">
        <f>'Languages Old'!D228</f>
        <v>Presence of Graffiti</v>
      </c>
      <c r="C228" s="116" t="str">
        <f>VLOOKUP(A228,'Languages Old'!$A$4:$I$273,3+$A$1)</f>
        <v>Vorhandensein von Graffiti in den:</v>
      </c>
    </row>
    <row r="229" spans="1:3" x14ac:dyDescent="0.35">
      <c r="A229" s="130">
        <v>226</v>
      </c>
      <c r="B229" s="116" t="str">
        <f>'Languages Old'!D229</f>
        <v>Stairwells (Yes= -2, No= 0)</v>
      </c>
      <c r="C229" s="116" t="str">
        <f>VLOOKUP(A229,'Languages Old'!$A$4:$I$273,3+$A$1)</f>
        <v>Treppenhäusern (ja = -2, nein = 0)</v>
      </c>
    </row>
    <row r="230" spans="1:3" x14ac:dyDescent="0.35">
      <c r="A230" s="130">
        <v>227</v>
      </c>
      <c r="B230" s="116" t="str">
        <f>'Languages Old'!D230</f>
        <v>Elevator (Yes= -2, No= 0)</v>
      </c>
      <c r="C230" s="116" t="str">
        <f>VLOOKUP(A230,'Languages Old'!$A$4:$I$273,3+$A$1)</f>
        <v>Aufzügen (ja = -2, nein = 0)</v>
      </c>
    </row>
    <row r="231" spans="1:3" x14ac:dyDescent="0.35">
      <c r="A231" s="130">
        <v>228</v>
      </c>
      <c r="B231" s="116" t="str">
        <f>'Languages Old'!D231</f>
        <v>Toilets (Yes= -2, No= 0)</v>
      </c>
      <c r="C231" s="116" t="str">
        <f>VLOOKUP(A231,'Languages Old'!$A$4:$I$273,3+$A$1)</f>
        <v>Toiletten (ja = -2, nein = 0)</v>
      </c>
    </row>
    <row r="232" spans="1:3" x14ac:dyDescent="0.35">
      <c r="A232" s="130">
        <v>229</v>
      </c>
      <c r="B232" s="116" t="str">
        <f>'Languages Old'!D232</f>
        <v>Parking area (Yes= -2, No= 0)</v>
      </c>
      <c r="C232" s="116" t="str">
        <f>VLOOKUP(A232,'Languages Old'!$A$4:$I$273,3+$A$1)</f>
        <v>Parkebenen (ja = -2, nein = 0)</v>
      </c>
    </row>
    <row r="233" spans="1:3" x14ac:dyDescent="0.35">
      <c r="A233" s="130">
        <v>230</v>
      </c>
      <c r="B233" s="116" t="str">
        <f>'Languages Old'!D233</f>
        <v>Outside walls (Yes= -2, No= 0)</v>
      </c>
      <c r="C233" s="116" t="str">
        <f>VLOOKUP(A233,'Languages Old'!$A$4:$I$273,3+$A$1)</f>
        <v>Außenwände (ja = -2, nein = 0)</v>
      </c>
    </row>
    <row r="234" spans="1:3" x14ac:dyDescent="0.35">
      <c r="A234" s="130">
        <v>231</v>
      </c>
      <c r="B234" s="116" t="str">
        <f>'Languages Old'!D234</f>
        <v>Presence of dirt</v>
      </c>
      <c r="C234" s="116" t="str">
        <f>VLOOKUP(A234,'Languages Old'!$A$4:$I$273,3+$A$1)</f>
        <v>Vorhandensein von Schmutz in den</v>
      </c>
    </row>
    <row r="235" spans="1:3" x14ac:dyDescent="0.35">
      <c r="A235" s="130">
        <v>232</v>
      </c>
      <c r="B235" s="116" t="str">
        <f>'Languages Old'!D235</f>
        <v>Stairwells (Yes= -2, No= 0)</v>
      </c>
      <c r="C235" s="116" t="str">
        <f>VLOOKUP(A235,'Languages Old'!$A$4:$I$273,3+$A$1)</f>
        <v>Treppenhäusern (ja = -2, nein = 0)</v>
      </c>
    </row>
    <row r="236" spans="1:3" x14ac:dyDescent="0.35">
      <c r="A236" s="130">
        <v>233</v>
      </c>
      <c r="B236" s="116" t="str">
        <f>'Languages Old'!D236</f>
        <v>Elevator (Yes= -2, No= 0)</v>
      </c>
      <c r="C236" s="116" t="str">
        <f>VLOOKUP(A236,'Languages Old'!$A$4:$I$273,3+$A$1)</f>
        <v>Aufzügen (ja = -2, nein = 0)</v>
      </c>
    </row>
    <row r="237" spans="1:3" x14ac:dyDescent="0.35">
      <c r="A237" s="130">
        <v>234</v>
      </c>
      <c r="B237" s="116" t="str">
        <f>'Languages Old'!D237</f>
        <v>Toilets (Yes= -2, No= 0)</v>
      </c>
      <c r="C237" s="116" t="str">
        <f>VLOOKUP(A237,'Languages Old'!$A$4:$I$273,3+$A$1)</f>
        <v>Toiletten (ja = -2, nein = 0)</v>
      </c>
    </row>
    <row r="238" spans="1:3" x14ac:dyDescent="0.35">
      <c r="A238" s="130">
        <v>235</v>
      </c>
      <c r="B238" s="116" t="str">
        <f>'Languages Old'!D238</f>
        <v>Parking area (Yes= -2, No= 0)</v>
      </c>
      <c r="C238" s="116" t="str">
        <f>VLOOKUP(A238,'Languages Old'!$A$4:$I$273,3+$A$1)</f>
        <v>Parkebenen (ja = -2, nein = 0)</v>
      </c>
    </row>
    <row r="239" spans="1:3" x14ac:dyDescent="0.35">
      <c r="A239" s="130">
        <v>236</v>
      </c>
      <c r="B239" s="116" t="str">
        <f>'Languages Old'!D239</f>
        <v>Outside of entrance for pedestrians + cars (Yes= -2, No= 0)</v>
      </c>
      <c r="C239" s="116" t="str">
        <f>VLOOKUP(A239,'Languages Old'!$A$4:$I$273,3+$A$1)</f>
        <v>Vor den Eingängen und Einfahrten (ja = -2, nein = 0)</v>
      </c>
    </row>
    <row r="240" spans="1:3" x14ac:dyDescent="0.35">
      <c r="A240" s="130">
        <v>237</v>
      </c>
      <c r="B240" s="116" t="str">
        <f>'Languages Old'!D240</f>
        <v>Poor quality of paint work</v>
      </c>
      <c r="C240" s="116" t="str">
        <f>VLOOKUP(A240,'Languages Old'!$A$4:$I$273,3+$A$1)</f>
        <v>Schlechte Qualität von Anstrichen in den</v>
      </c>
    </row>
    <row r="241" spans="1:3" x14ac:dyDescent="0.35">
      <c r="A241" s="130">
        <v>238</v>
      </c>
      <c r="B241" s="116" t="str">
        <f>'Languages Old'!D241</f>
        <v>Stairwells (Yes= -2, No= 0)</v>
      </c>
      <c r="C241" s="116" t="str">
        <f>VLOOKUP(A241,'Languages Old'!$A$4:$I$273,3+$A$1)</f>
        <v>Treppenhäusern (ja = -2, nein = 0)</v>
      </c>
    </row>
    <row r="242" spans="1:3" x14ac:dyDescent="0.35">
      <c r="A242" s="130">
        <v>239</v>
      </c>
      <c r="B242" s="116" t="str">
        <f>'Languages Old'!D242</f>
        <v>Elevator (Yes= -2, No= 0)</v>
      </c>
      <c r="C242" s="116" t="str">
        <f>VLOOKUP(A242,'Languages Old'!$A$4:$I$273,3+$A$1)</f>
        <v>Aufzügen (ja = -2, nein = 0)</v>
      </c>
    </row>
    <row r="243" spans="1:3" x14ac:dyDescent="0.35">
      <c r="A243" s="130">
        <v>240</v>
      </c>
      <c r="B243" s="116" t="str">
        <f>'Languages Old'!D243</f>
        <v>Parking area (Yes= -2, No= 0)</v>
      </c>
      <c r="C243" s="116" t="str">
        <f>VLOOKUP(A243,'Languages Old'!$A$4:$I$273,3+$A$1)</f>
        <v>Parkebenen (ja = -2, nein = 0)</v>
      </c>
    </row>
    <row r="244" spans="1:3" x14ac:dyDescent="0.35">
      <c r="A244" s="130">
        <v>241</v>
      </c>
      <c r="B244" s="116" t="str">
        <f>'Languages Old'!D244</f>
        <v>Poor quality horizontal markings (Yes= -2, No= 0)</v>
      </c>
      <c r="C244" s="116" t="str">
        <f>VLOOKUP(A244,'Languages Old'!$A$4:$I$273,3+$A$1)</f>
        <v>Schlechte Qualität der Bodenmarkierungen (ja = 2, nein = 0)</v>
      </c>
    </row>
    <row r="245" spans="1:3" x14ac:dyDescent="0.35">
      <c r="A245" s="130">
        <v>242</v>
      </c>
      <c r="B245" s="116" t="str">
        <f>'Languages Old'!D245</f>
        <v xml:space="preserve">Poor quality/lack of maintenance (pot holes ,damages) </v>
      </c>
      <c r="C245" s="116" t="str">
        <f>VLOOKUP(A245,'Languages Old'!$A$4:$I$273,3+$A$1)</f>
        <v xml:space="preserve">Mangelhafte Instandhaltung (Schlaglöcher, bauliche Mängel, etc.) </v>
      </c>
    </row>
    <row r="246" spans="1:3" x14ac:dyDescent="0.35">
      <c r="A246" s="130">
        <v>243</v>
      </c>
      <c r="B246" s="116" t="str">
        <f>'Languages Old'!D246</f>
        <v>Floors (Yes= -2, No= 0)</v>
      </c>
      <c r="C246" s="116" t="str">
        <f>VLOOKUP(A246,'Languages Old'!$A$4:$I$273,3+$A$1)</f>
        <v>Boden (ja = -2, nein = 0)</v>
      </c>
    </row>
    <row r="247" spans="1:3" x14ac:dyDescent="0.35">
      <c r="A247" s="130">
        <v>244</v>
      </c>
      <c r="B247" s="116" t="str">
        <f>'Languages Old'!D247</f>
        <v>Walls (Yes= -2, No= 0)</v>
      </c>
      <c r="C247" s="116" t="str">
        <f>VLOOKUP(A247,'Languages Old'!$A$4:$I$273,3+$A$1)</f>
        <v>Wänden (ja = -2, nein = 0)</v>
      </c>
    </row>
    <row r="248" spans="1:3" x14ac:dyDescent="0.35">
      <c r="A248" s="130">
        <v>245</v>
      </c>
      <c r="B248" s="116" t="str">
        <f>'Languages Old'!D248</f>
        <v>Evidence of standing water (Yes= -2, No= 0)</v>
      </c>
      <c r="C248" s="116" t="str">
        <f>VLOOKUP(A248,'Languages Old'!$A$4:$I$273,3+$A$1)</f>
        <v>Vorhandensein von Pfützen (ja = -2, nein = 0)</v>
      </c>
    </row>
    <row r="249" spans="1:3" x14ac:dyDescent="0.35">
      <c r="A249" s="130">
        <v>246</v>
      </c>
      <c r="B249" s="116" t="str">
        <f>'Languages Old'!D249</f>
        <v>Evidence of bad smells</v>
      </c>
      <c r="C249" s="116" t="str">
        <f>VLOOKUP(A249,'Languages Old'!$A$4:$I$273,3+$A$1)</f>
        <v>Vorhandensein von üblen Gerüchen in den</v>
      </c>
    </row>
    <row r="250" spans="1:3" x14ac:dyDescent="0.35">
      <c r="A250" s="130">
        <v>247</v>
      </c>
      <c r="B250" s="116" t="str">
        <f>'Languages Old'!D250</f>
        <v>Elevators (Yes= -2, No= 0)</v>
      </c>
      <c r="C250" s="116" t="str">
        <f>VLOOKUP(A250,'Languages Old'!$A$4:$I$273,3+$A$1)</f>
        <v>Aufzügen (ja = -2, nein = 0)</v>
      </c>
    </row>
    <row r="251" spans="1:3" x14ac:dyDescent="0.35">
      <c r="A251" s="130">
        <v>248</v>
      </c>
      <c r="B251" s="116" t="str">
        <f>'Languages Old'!D251</f>
        <v>Stairwells (Yes= -2, No= 0)</v>
      </c>
      <c r="C251" s="116" t="str">
        <f>VLOOKUP(A251,'Languages Old'!$A$4:$I$273,3+$A$1)</f>
        <v>Treppenhäusern (ja = -2, nein = 0)</v>
      </c>
    </row>
    <row r="252" spans="1:3" x14ac:dyDescent="0.35">
      <c r="A252" s="130">
        <v>249</v>
      </c>
      <c r="B252" s="116" t="str">
        <f>'Languages Old'!D252</f>
        <v>Parking deck (Yes= -2, No= 0)</v>
      </c>
      <c r="C252" s="116" t="str">
        <f>VLOOKUP(A252,'Languages Old'!$A$4:$I$273,3+$A$1)</f>
        <v>Parkebenen (ja = -2, nein = 0)</v>
      </c>
    </row>
    <row r="253" spans="1:3" ht="29" x14ac:dyDescent="0.35">
      <c r="A253" s="130">
        <v>250</v>
      </c>
      <c r="B253" s="116" t="str">
        <f>'Languages Old'!D253</f>
        <v>Over 15% of parking spaces in cul-de-sac without occupancy indication. (Yes= -5, No=0)</v>
      </c>
      <c r="C253" s="116" t="str">
        <f>VLOOKUP(A253,'Languages Old'!$A$4:$I$273,3+$A$1)</f>
        <v>Über 15% der Stellplätze in Sackgassen ohne Anzeige der Belegung (ja = 5, nein = 0)</v>
      </c>
    </row>
    <row r="254" spans="1:3" ht="43.5" x14ac:dyDescent="0.35">
      <c r="A254" s="130">
        <v>251</v>
      </c>
      <c r="B254" s="116" t="str">
        <f>'Languages Old'!D254</f>
        <v>Various points of criticism (to explain!)
[E.g. hollow sound, squeaking tyres, unintended visitors, etc.] up to -10</v>
      </c>
      <c r="C254" s="116" t="str">
        <f>VLOOKUP(A254,'Languages Old'!$A$4:$I$273,3+$A$1)</f>
        <v>Verschiedene Kritikpunkte (zu erläutern!)
[z.B.: Lärm, quietschende Reifen, unerwünschtes Publikum, etc.] bis zu-10 Pkt.</v>
      </c>
    </row>
    <row r="255" spans="1:3" x14ac:dyDescent="0.35">
      <c r="A255" s="130">
        <v>252</v>
      </c>
      <c r="B255" s="116" t="str">
        <f>'Languages Old'!D255</f>
        <v>Penalty for Mandatory Condition 1.4 Applies</v>
      </c>
      <c r="C255" s="116" t="str">
        <f>VLOOKUP(A255,'Languages Old'!$A$4:$I$273,3+$A$1)</f>
        <v>Strafabzug für Mindestanforderung 1.4 kommt zur Anwendung.</v>
      </c>
    </row>
    <row r="256" spans="1:3" x14ac:dyDescent="0.35">
      <c r="A256" s="130">
        <v>253</v>
      </c>
      <c r="B256" s="116" t="str">
        <f>'Languages Old'!D256</f>
        <v>Bonus Points</v>
      </c>
      <c r="C256" s="116" t="str">
        <f>VLOOKUP(A256,'Languages Old'!$A$4:$I$273,3+$A$1)</f>
        <v>Bonuspunkte</v>
      </c>
    </row>
    <row r="257" spans="1:3" x14ac:dyDescent="0.35">
      <c r="A257" s="130">
        <v>254</v>
      </c>
      <c r="B257" s="116" t="str">
        <f>'Languages Old'!D257</f>
        <v>Extra provisions in car park</v>
      </c>
      <c r="C257" s="116" t="str">
        <f>VLOOKUP(A257,'Languages Old'!$A$4:$I$273,3+$A$1)</f>
        <v>Zusätzliche Einrichtungen im Parkhaus:</v>
      </c>
    </row>
    <row r="258" spans="1:3" x14ac:dyDescent="0.35">
      <c r="A258" s="130">
        <v>255</v>
      </c>
      <c r="B258" s="116" t="str">
        <f>'Languages Old'!D258</f>
        <v>Special motorcycle area (Yes= 1, No= 0)</v>
      </c>
      <c r="C258" s="116" t="str">
        <f>VLOOKUP(A258,'Languages Old'!$A$4:$I$273,3+$A$1)</f>
        <v>Motorradstellplätze (ja = 1, nein = 0)</v>
      </c>
    </row>
    <row r="259" spans="1:3" x14ac:dyDescent="0.35">
      <c r="A259" s="130">
        <v>256</v>
      </c>
      <c r="B259" s="116" t="str">
        <f>'Languages Old'!D259</f>
        <v>Lockers for customers’ use (Yes= 1, No= 0)</v>
      </c>
      <c r="C259" s="116" t="str">
        <f>VLOOKUP(A259,'Languages Old'!$A$4:$I$273,3+$A$1)</f>
        <v>Schließfächer (ja = 1, nein = 0)</v>
      </c>
    </row>
    <row r="260" spans="1:3" x14ac:dyDescent="0.35">
      <c r="A260" s="130">
        <v>257</v>
      </c>
      <c r="B260" s="116" t="str">
        <f>'Languages Old'!D260</f>
        <v>Other aids (Yes= 1, No= 0)</v>
      </c>
      <c r="C260" s="116" t="str">
        <f>VLOOKUP(A260,'Languages Old'!$A$4:$I$273,3+$A$1)</f>
        <v>Andere Angebote (ja = 1, nein = 0)</v>
      </c>
    </row>
    <row r="261" spans="1:3" x14ac:dyDescent="0.35">
      <c r="A261" s="130">
        <v>258</v>
      </c>
      <c r="B261" s="116" t="str">
        <f>'Languages Old'!D261</f>
        <v>Bicycle rent (Yes= 1, No= 0)</v>
      </c>
      <c r="C261" s="116" t="str">
        <f>VLOOKUP(A261,'Languages Old'!$A$4:$I$273,3+$A$1)</f>
        <v>Fahrradverleih (ja = 1, nein = 0)</v>
      </c>
    </row>
    <row r="262" spans="1:3" x14ac:dyDescent="0.35">
      <c r="A262" s="130">
        <v>259</v>
      </c>
      <c r="B262" s="116" t="str">
        <f>'Languages Old'!D262</f>
        <v>Other Driver Assistance (Yes= 1, No= 0)</v>
      </c>
      <c r="C262" s="116" t="str">
        <f>VLOOKUP(A262,'Languages Old'!$A$4:$I$273,3+$A$1)</f>
        <v>Andere Fahrerservices (ja = 1, nein = 0)</v>
      </c>
    </row>
    <row r="263" spans="1:3" x14ac:dyDescent="0.35">
      <c r="A263" s="130">
        <v>260</v>
      </c>
      <c r="B263" s="116" t="str">
        <f>'Languages Old'!D263</f>
        <v>Vending Machines (Yes= 1, No= 0)</v>
      </c>
      <c r="C263" s="116" t="str">
        <f>VLOOKUP(A263,'Languages Old'!$A$4:$I$273,3+$A$1)</f>
        <v>Verkaufsautomaten (ja = 1, nein = 0)</v>
      </c>
    </row>
    <row r="264" spans="1:3" x14ac:dyDescent="0.35">
      <c r="A264" s="130">
        <v>261</v>
      </c>
      <c r="B264" s="116" t="str">
        <f>'Languages Old'!D264</f>
        <v>Heart Defibrillator (Yes= 1, No= 0)</v>
      </c>
      <c r="C264" s="116" t="str">
        <f>VLOOKUP(A264,'Languages Old'!$A$4:$I$273,3+$A$1)</f>
        <v>Defibrillator (ja = 1, nein = 0)</v>
      </c>
    </row>
    <row r="265" spans="1:3" x14ac:dyDescent="0.35">
      <c r="A265" s="130">
        <v>262</v>
      </c>
      <c r="B265" s="116" t="str">
        <f>'Languages Old'!D265</f>
        <v>First aid trained staff (Yes= 1, No= 0)</v>
      </c>
      <c r="C265" s="116" t="str">
        <f>VLOOKUP(A265,'Languages Old'!$A$4:$I$273,3+$A$1)</f>
        <v>Personal mit Erste-Hilfe-Ausbildung (ja = 1, nein = 0)</v>
      </c>
    </row>
    <row r="266" spans="1:3" x14ac:dyDescent="0.35">
      <c r="A266" s="130">
        <v>263</v>
      </c>
      <c r="B266" s="116" t="str">
        <f>'Languages Old'!D266</f>
        <v>Real time traffic data (Yes= 1, No= 0)</v>
      </c>
      <c r="C266" s="116" t="str">
        <f>VLOOKUP(A266,'Languages Old'!$A$4:$I$273,3+$A$1)</f>
        <v>Echtzeit-Verkehrsinformationen (ja = 1, nein = 0)</v>
      </c>
    </row>
    <row r="267" spans="1:3" ht="29" x14ac:dyDescent="0.35">
      <c r="A267" s="130">
        <v>264</v>
      </c>
      <c r="B267" s="116" t="str">
        <f>'Languages Old'!D267</f>
        <v>Other real time accessible information (e.g. local events) (Yes= 1, No= 0)</v>
      </c>
      <c r="C267" s="116" t="str">
        <f>VLOOKUP(A267,'Languages Old'!$A$4:$I$273,3+$A$1)</f>
        <v>Andere aktuelle Informationen  (z.B. lokale Veranstaltungen) (ja = 1, nein = 0)</v>
      </c>
    </row>
    <row r="268" spans="1:3" ht="29" x14ac:dyDescent="0.35">
      <c r="A268" s="130">
        <v>265</v>
      </c>
      <c r="B268" s="116" t="str">
        <f>'Languages Old'!D268</f>
        <v>Measures to avoid traffic queues at peak hours (i.e. tidal lane at car entry/exit) - (Yes= 3, No= 0)</v>
      </c>
      <c r="C268" s="116" t="str">
        <f>VLOOKUP(A268,'Languages Old'!$A$4:$I$273,3+$A$1)</f>
        <v>Maßnahmen zur Verbesserung des Verkehrsablaufes in Spitzenstunden (z.B. tageszeitlich wechselnde Ein-/Ausfahrtsspuren) - (ja = 3, nein = 0)</v>
      </c>
    </row>
    <row r="269" spans="1:3" ht="43.5" x14ac:dyDescent="0.35">
      <c r="A269" s="130">
        <v>266</v>
      </c>
      <c r="B269" s="116" t="str">
        <f>'Languages Old'!D269</f>
        <v>Turn around possibility for cars before height barrier or full sign to prevent reversing (Yes= 3, No= 0)</v>
      </c>
      <c r="C269" s="116" t="str">
        <f>VLOOKUP(A269,'Languages Old'!$A$4:$I$273,3+$A$1)</f>
        <v>Wendemöglichkeit für Fahrzeuge vor der Höhenbegrenzung oder besondere Anzeigen zur Vermeidung von Rückwärtsfahrten  (ja = 3, nein = 0)</v>
      </c>
    </row>
    <row r="270" spans="1:3" x14ac:dyDescent="0.35">
      <c r="A270" s="130">
        <v>267</v>
      </c>
      <c r="B270" s="116" t="str">
        <f>'Languages Old'!D270</f>
        <v>Customer service desk (Yes= 1, No= 0)</v>
      </c>
      <c r="C270" s="116" t="str">
        <f>VLOOKUP(A270,'Languages Old'!$A$4:$I$273,3+$A$1)</f>
        <v>Parkhausaufsicht mit Bedientresen (ja = 1, nein = 0)</v>
      </c>
    </row>
    <row r="271" spans="1:3" ht="43.5" x14ac:dyDescent="0.35">
      <c r="A271" s="130">
        <v>268</v>
      </c>
      <c r="B271" s="116" t="str">
        <f>'Languages Old'!D271</f>
        <v>Escalators and/or travellators
(To/from all levels =5, To/from some levels =3, No Escalators or Travellators = 0)</v>
      </c>
      <c r="C271" s="116" t="str">
        <f>VLOOKUP(A271,'Languages Old'!$A$4:$I$273,3+$A$1)</f>
        <v>Rolltreppen oder Rollsteige
(von/zu allen Etagen = 5, nur zu bestimmten Etagen = 3, keine Rolltreppen oder Rollsteige = 0)</v>
      </c>
    </row>
    <row r="272" spans="1:3" ht="43.5" x14ac:dyDescent="0.35">
      <c r="A272" s="130">
        <v>269</v>
      </c>
      <c r="B272" s="116" t="str">
        <f>'Languages Old'!D272</f>
        <v>Localisation of parked cars by ticket or license plate
(Yes= 1, No= 0)</v>
      </c>
      <c r="C272" s="116" t="str">
        <f>VLOOKUP(A272,'Languages Old'!$A$4:$I$273,3+$A$1)</f>
        <v>Lokalisierung von Fahrzeugen durch den Parkschein oder das Fahrzeugkennzeichen
(ja = 1, nein = 0)</v>
      </c>
    </row>
    <row r="273" spans="1:3" ht="43.5" x14ac:dyDescent="0.35">
      <c r="A273" s="131">
        <v>270</v>
      </c>
      <c r="B273" s="117" t="str">
        <f>'Languages Old'!D273</f>
        <v>Other positive points e.g. extra services, friendly staff, tiled walls/floors, good fit of the car park in cityscape etc up to ten additional bonus points. To be explicitly identified.</v>
      </c>
      <c r="C273" s="117" t="str">
        <f>VLOOKUP(A273,'Languages Old'!$A$4:$I$273,3+$A$1)</f>
        <v>Andere positive Punkte oder Zusatzleistungen, wie freundliches Personal, gekachelte Wände/Böden, gutes Einfügen des Parkhauses in das Stadtbild usw. (zu beschreiben). (bis zu 10 Punkte).</v>
      </c>
    </row>
    <row r="274" spans="1:3" x14ac:dyDescent="0.35">
      <c r="B274" s="57"/>
    </row>
    <row r="275" spans="1:3" ht="21" x14ac:dyDescent="0.35">
      <c r="A275" s="126" t="s">
        <v>2503</v>
      </c>
      <c r="B275" s="213"/>
      <c r="C275" s="127"/>
    </row>
    <row r="276" spans="1:3" x14ac:dyDescent="0.35">
      <c r="A276" s="192">
        <v>1</v>
      </c>
      <c r="B276" s="193" t="s">
        <v>456</v>
      </c>
      <c r="C276" s="194" t="str">
        <f>VLOOKUP(A276,Answers!$A$4:$I$276,3+$A$1)</f>
        <v>Morgen</v>
      </c>
    </row>
    <row r="277" spans="1:3" x14ac:dyDescent="0.35">
      <c r="A277" s="195">
        <v>2</v>
      </c>
      <c r="B277" s="196" t="s">
        <v>457</v>
      </c>
      <c r="C277" s="197" t="str">
        <f>VLOOKUP(A277,Answers!$A$4:$I$276,3+$A$1)</f>
        <v>Nachmittag</v>
      </c>
    </row>
    <row r="278" spans="1:3" x14ac:dyDescent="0.35">
      <c r="A278" s="195">
        <v>3</v>
      </c>
      <c r="B278" s="196" t="s">
        <v>458</v>
      </c>
      <c r="C278" s="197" t="str">
        <f>VLOOKUP(A278,Answers!$A$4:$I$276,3+$A$1)</f>
        <v>Abend</v>
      </c>
    </row>
    <row r="279" spans="1:3" x14ac:dyDescent="0.35">
      <c r="A279" s="195">
        <v>4</v>
      </c>
      <c r="B279" s="196"/>
      <c r="C279" s="197"/>
    </row>
    <row r="280" spans="1:3" x14ac:dyDescent="0.35">
      <c r="A280" s="195">
        <v>5</v>
      </c>
      <c r="B280" s="196" t="s">
        <v>459</v>
      </c>
      <c r="C280" s="197" t="str">
        <f>VLOOKUP(A280,Answers!$A$4:$I$276,3+$A$1)</f>
        <v>sonnig</v>
      </c>
    </row>
    <row r="281" spans="1:3" x14ac:dyDescent="0.35">
      <c r="A281" s="195">
        <v>6</v>
      </c>
      <c r="B281" s="196" t="s">
        <v>460</v>
      </c>
      <c r="C281" s="197" t="str">
        <f>VLOOKUP(A281,Answers!$A$4:$I$276,3+$A$1)</f>
        <v>bewölkt</v>
      </c>
    </row>
    <row r="282" spans="1:3" x14ac:dyDescent="0.35">
      <c r="A282" s="195">
        <v>7</v>
      </c>
      <c r="B282" s="196" t="s">
        <v>461</v>
      </c>
      <c r="C282" s="197" t="str">
        <f>VLOOKUP(A282,Answers!$A$4:$I$276,3+$A$1)</f>
        <v>Regen</v>
      </c>
    </row>
    <row r="283" spans="1:3" x14ac:dyDescent="0.35">
      <c r="A283" s="195">
        <v>8</v>
      </c>
      <c r="B283" s="196" t="s">
        <v>462</v>
      </c>
      <c r="C283" s="197" t="str">
        <f>VLOOKUP(A283,Answers!$A$4:$I$276,3+$A$1)</f>
        <v>Dämmerung</v>
      </c>
    </row>
    <row r="284" spans="1:3" x14ac:dyDescent="0.35">
      <c r="A284" s="195">
        <v>9</v>
      </c>
      <c r="B284" s="196" t="s">
        <v>463</v>
      </c>
      <c r="C284" s="197" t="str">
        <f>VLOOKUP(A284,Answers!$A$4:$I$276,3+$A$1)</f>
        <v>Nacht</v>
      </c>
    </row>
    <row r="285" spans="1:3" x14ac:dyDescent="0.35">
      <c r="A285" s="195">
        <v>10</v>
      </c>
      <c r="B285" s="196"/>
      <c r="C285" s="197"/>
    </row>
    <row r="286" spans="1:3" x14ac:dyDescent="0.35">
      <c r="A286" s="195">
        <v>11</v>
      </c>
      <c r="B286" s="196" t="s">
        <v>464</v>
      </c>
      <c r="C286" s="197" t="str">
        <f>VLOOKUP(A286,Answers!$A$4:$I$276,3+$A$1)</f>
        <v>Mehr als 25 %</v>
      </c>
    </row>
    <row r="287" spans="1:3" x14ac:dyDescent="0.35">
      <c r="A287" s="195">
        <v>12</v>
      </c>
      <c r="B287" s="196" t="s">
        <v>466</v>
      </c>
      <c r="C287" s="197" t="str">
        <f>VLOOKUP(A287,Answers!$A$4:$I$276,3+$A$1)</f>
        <v xml:space="preserve"> 50% - 75%</v>
      </c>
    </row>
    <row r="288" spans="1:3" x14ac:dyDescent="0.35">
      <c r="A288" s="195">
        <v>13</v>
      </c>
      <c r="B288" s="196" t="s">
        <v>467</v>
      </c>
      <c r="C288" s="197" t="str">
        <f>VLOOKUP(A288,Answers!$A$4:$I$276,3+$A$1)</f>
        <v>etwa 50%</v>
      </c>
    </row>
    <row r="289" spans="1:3" x14ac:dyDescent="0.35">
      <c r="A289" s="195">
        <v>14</v>
      </c>
      <c r="B289" s="196" t="s">
        <v>468</v>
      </c>
      <c r="C289" s="197" t="str">
        <f>VLOOKUP(A289,Answers!$A$4:$I$276,3+$A$1)</f>
        <v xml:space="preserve"> 25% - 50%</v>
      </c>
    </row>
    <row r="290" spans="1:3" x14ac:dyDescent="0.35">
      <c r="A290" s="195">
        <v>15</v>
      </c>
      <c r="B290" s="196" t="s">
        <v>465</v>
      </c>
      <c r="C290" s="197" t="str">
        <f>VLOOKUP(A290,Answers!$A$4:$I$276,3+$A$1)</f>
        <v>Weniger als 25 %</v>
      </c>
    </row>
    <row r="291" spans="1:3" x14ac:dyDescent="0.35">
      <c r="A291" s="195">
        <v>16</v>
      </c>
      <c r="B291" s="196"/>
      <c r="C291" s="197"/>
    </row>
    <row r="292" spans="1:3" x14ac:dyDescent="0.35">
      <c r="A292" s="195">
        <v>17</v>
      </c>
      <c r="B292" s="196" t="s">
        <v>115</v>
      </c>
      <c r="C292" s="197" t="str">
        <f>VLOOKUP(A292,Answers!$A$4:$I$276,3+$A$1)</f>
        <v>OK</v>
      </c>
    </row>
    <row r="293" spans="1:3" x14ac:dyDescent="0.35">
      <c r="A293" s="195">
        <v>18</v>
      </c>
      <c r="B293" s="196" t="s">
        <v>116</v>
      </c>
      <c r="C293" s="197" t="str">
        <f>VLOOKUP(A293,Answers!$A$4:$I$276,3+$A$1)</f>
        <v>Mangel</v>
      </c>
    </row>
    <row r="294" spans="1:3" x14ac:dyDescent="0.35">
      <c r="A294" s="195">
        <v>19</v>
      </c>
      <c r="B294" s="196"/>
      <c r="C294" s="197"/>
    </row>
    <row r="295" spans="1:3" x14ac:dyDescent="0.35">
      <c r="A295" s="195">
        <v>20</v>
      </c>
      <c r="B295" s="196" t="s">
        <v>130</v>
      </c>
      <c r="C295" s="197" t="str">
        <f>VLOOKUP(A295,Answers!$A$4:$I$276,3+$A$1)</f>
        <v>Ja</v>
      </c>
    </row>
    <row r="296" spans="1:3" x14ac:dyDescent="0.35">
      <c r="A296" s="195">
        <v>21</v>
      </c>
      <c r="B296" s="196" t="s">
        <v>131</v>
      </c>
      <c r="C296" s="197" t="str">
        <f>VLOOKUP(A296,Answers!$A$4:$I$276,3+$A$1)</f>
        <v>Nein</v>
      </c>
    </row>
    <row r="297" spans="1:3" x14ac:dyDescent="0.35">
      <c r="A297" s="195">
        <v>22</v>
      </c>
      <c r="B297" s="196" t="s">
        <v>211</v>
      </c>
      <c r="C297" s="197" t="str">
        <f>VLOOKUP(A297,Answers!$A$4:$I$276,3+$A$1)</f>
        <v>unzutreffend</v>
      </c>
    </row>
    <row r="298" spans="1:3" x14ac:dyDescent="0.35">
      <c r="A298" s="195">
        <v>23</v>
      </c>
      <c r="B298" s="196" t="s">
        <v>213</v>
      </c>
      <c r="C298" s="197">
        <f>VLOOKUP(A298,Answers!$A$4:$I$276,3+$A$1)</f>
        <v>0</v>
      </c>
    </row>
    <row r="299" spans="1:3" x14ac:dyDescent="0.35">
      <c r="A299" s="195">
        <v>24</v>
      </c>
      <c r="B299" s="196" t="s">
        <v>214</v>
      </c>
      <c r="C299" s="197" t="str">
        <f>VLOOKUP(A299,Answers!$A$4:$I$276,3+$A$1)</f>
        <v>verständliche Beschilderung</v>
      </c>
    </row>
    <row r="300" spans="1:3" x14ac:dyDescent="0.35">
      <c r="A300" s="195">
        <v>25</v>
      </c>
      <c r="B300" s="196" t="s">
        <v>215</v>
      </c>
      <c r="C300" s="197" t="str">
        <f>VLOOKUP(A300,Answers!$A$4:$I$276,3+$A$1)</f>
        <v>unvollständige Beschilderung</v>
      </c>
    </row>
    <row r="301" spans="1:3" x14ac:dyDescent="0.35">
      <c r="A301" s="195">
        <v>26</v>
      </c>
      <c r="B301" s="196"/>
      <c r="C301" s="197"/>
    </row>
    <row r="302" spans="1:3" x14ac:dyDescent="0.35">
      <c r="A302" s="195">
        <v>27</v>
      </c>
      <c r="B302" s="196" t="s">
        <v>217</v>
      </c>
      <c r="C302" s="197">
        <f>VLOOKUP(A302,Answers!$A$4:$I$276,3+$A$1)</f>
        <v>0</v>
      </c>
    </row>
    <row r="303" spans="1:3" x14ac:dyDescent="0.35">
      <c r="A303" s="195">
        <v>28</v>
      </c>
      <c r="B303" s="196" t="s">
        <v>218</v>
      </c>
      <c r="C303" s="197" t="str">
        <f>VLOOKUP(A303,Answers!$A$4:$I$276,3+$A$1)</f>
        <v>0% - 2%</v>
      </c>
    </row>
    <row r="304" spans="1:3" x14ac:dyDescent="0.35">
      <c r="A304" s="195">
        <v>29</v>
      </c>
      <c r="B304" s="196" t="s">
        <v>216</v>
      </c>
      <c r="C304" s="197" t="str">
        <f>VLOOKUP(A304,Answers!$A$4:$I$276,3+$A$1)</f>
        <v>2% - 5%</v>
      </c>
    </row>
    <row r="305" spans="1:3" x14ac:dyDescent="0.35">
      <c r="A305" s="195">
        <v>30</v>
      </c>
      <c r="B305" s="196"/>
      <c r="C305" s="197"/>
    </row>
    <row r="306" spans="1:3" x14ac:dyDescent="0.35">
      <c r="A306" s="195">
        <v>31</v>
      </c>
      <c r="B306" s="196" t="s">
        <v>219</v>
      </c>
      <c r="C306" s="197">
        <f>VLOOKUP(A306,Answers!$A$4:$I$276,3+$A$1)</f>
        <v>0</v>
      </c>
    </row>
    <row r="307" spans="1:3" x14ac:dyDescent="0.35">
      <c r="A307" s="195">
        <v>32</v>
      </c>
      <c r="B307" s="196" t="s">
        <v>220</v>
      </c>
      <c r="C307" s="197" t="str">
        <f>VLOOKUP(A307,Answers!$A$4:$I$276,3+$A$1)</f>
        <v>Ja</v>
      </c>
    </row>
    <row r="308" spans="1:3" x14ac:dyDescent="0.35">
      <c r="A308" s="195">
        <v>33</v>
      </c>
      <c r="B308" s="196" t="s">
        <v>221</v>
      </c>
      <c r="C308" s="197" t="str">
        <f>VLOOKUP(A308,Answers!$A$4:$I$276,3+$A$1)</f>
        <v>kein Schutz</v>
      </c>
    </row>
    <row r="309" spans="1:3" x14ac:dyDescent="0.35">
      <c r="A309" s="195">
        <v>34</v>
      </c>
      <c r="B309" s="196"/>
      <c r="C309" s="197"/>
    </row>
    <row r="310" spans="1:3" x14ac:dyDescent="0.35">
      <c r="A310" s="195">
        <v>35</v>
      </c>
      <c r="B310" s="196" t="s">
        <v>223</v>
      </c>
      <c r="C310" s="197">
        <f>VLOOKUP(A310,Answers!$A$4:$I$276,3+$A$1)</f>
        <v>0</v>
      </c>
    </row>
    <row r="311" spans="1:3" x14ac:dyDescent="0.35">
      <c r="A311" s="195">
        <v>36</v>
      </c>
      <c r="B311" s="196" t="s">
        <v>224</v>
      </c>
      <c r="C311" s="197" t="str">
        <f>VLOOKUP(A311,Answers!$A$4:$I$276,3+$A$1)</f>
        <v>rutschhemmend</v>
      </c>
    </row>
    <row r="312" spans="1:3" x14ac:dyDescent="0.35">
      <c r="A312" s="195">
        <v>37</v>
      </c>
      <c r="B312" s="196"/>
      <c r="C312" s="197"/>
    </row>
    <row r="313" spans="1:3" x14ac:dyDescent="0.35">
      <c r="A313" s="195">
        <v>38</v>
      </c>
      <c r="B313" s="196" t="s">
        <v>225</v>
      </c>
      <c r="C313" s="197">
        <f>VLOOKUP(A313,Answers!$A$4:$I$276,3+$A$1)</f>
        <v>0</v>
      </c>
    </row>
    <row r="314" spans="1:3" x14ac:dyDescent="0.35">
      <c r="A314" s="195">
        <v>39</v>
      </c>
      <c r="B314" s="196" t="s">
        <v>226</v>
      </c>
      <c r="C314" s="197" t="str">
        <f>VLOOKUP(A314,Answers!$A$4:$I$276,3+$A$1)</f>
        <v>weniger als 3 m</v>
      </c>
    </row>
    <row r="315" spans="1:3" x14ac:dyDescent="0.35">
      <c r="A315" s="195">
        <v>40</v>
      </c>
      <c r="B315" s="196" t="s">
        <v>227</v>
      </c>
      <c r="C315" s="197" t="str">
        <f>VLOOKUP(A315,Answers!$A$4:$I$276,3+$A$1)</f>
        <v>3m - 3.3m</v>
      </c>
    </row>
    <row r="316" spans="1:3" x14ac:dyDescent="0.35">
      <c r="A316" s="195">
        <v>41</v>
      </c>
      <c r="B316" s="196"/>
      <c r="C316" s="197"/>
    </row>
    <row r="317" spans="1:3" x14ac:dyDescent="0.35">
      <c r="A317" s="195">
        <v>42</v>
      </c>
      <c r="B317" s="196" t="s">
        <v>228</v>
      </c>
      <c r="C317" s="197">
        <f>VLOOKUP(A317,Answers!$A$4:$I$276,3+$A$1)</f>
        <v>0</v>
      </c>
    </row>
    <row r="318" spans="1:3" x14ac:dyDescent="0.35">
      <c r="A318" s="195">
        <v>43</v>
      </c>
      <c r="B318" s="196" t="s">
        <v>229</v>
      </c>
      <c r="C318" s="197" t="str">
        <f>VLOOKUP(A318,Answers!$A$4:$I$276,3+$A$1)</f>
        <v>Stütze beeinträchtigt den Stellplatz nicht</v>
      </c>
    </row>
    <row r="319" spans="1:3" x14ac:dyDescent="0.35">
      <c r="A319" s="195">
        <v>44</v>
      </c>
      <c r="B319" s="196" t="s">
        <v>230</v>
      </c>
      <c r="C319" s="197" t="str">
        <f>VLOOKUP(A319,Answers!$A$4:$I$276,3+$A$1)</f>
        <v>Stütze am Anfang des Stellplatzes</v>
      </c>
    </row>
    <row r="320" spans="1:3" x14ac:dyDescent="0.35">
      <c r="A320" s="195">
        <v>45</v>
      </c>
      <c r="B320" s="196" t="s">
        <v>231</v>
      </c>
      <c r="C320" s="197" t="str">
        <f>VLOOKUP(A320,Answers!$A$4:$I$276,3+$A$1)</f>
        <v>Stütze nahe der Fahrzeugtür</v>
      </c>
    </row>
    <row r="321" spans="1:3" x14ac:dyDescent="0.35">
      <c r="A321" s="195">
        <v>46</v>
      </c>
      <c r="B321" s="196"/>
      <c r="C321" s="197"/>
    </row>
    <row r="322" spans="1:3" x14ac:dyDescent="0.35">
      <c r="A322" s="195">
        <v>47</v>
      </c>
      <c r="B322" s="196" t="s">
        <v>149</v>
      </c>
      <c r="C322" s="197">
        <f>VLOOKUP(A322,Answers!$A$4:$I$276,3+$A$1)</f>
        <v>0</v>
      </c>
    </row>
    <row r="323" spans="1:3" x14ac:dyDescent="0.35">
      <c r="A323" s="195">
        <v>48</v>
      </c>
      <c r="B323" s="196" t="s">
        <v>150</v>
      </c>
      <c r="C323" s="197" t="str">
        <f>VLOOKUP(A323,Answers!$A$4:$I$276,3+$A$1)</f>
        <v>Gute Qualität</v>
      </c>
    </row>
    <row r="324" spans="1:3" x14ac:dyDescent="0.35">
      <c r="A324" s="195">
        <v>49</v>
      </c>
      <c r="B324" s="196" t="s">
        <v>151</v>
      </c>
      <c r="C324" s="197" t="str">
        <f>VLOOKUP(A324,Answers!$A$4:$I$276,3+$A$1)</f>
        <v>Standardqualität</v>
      </c>
    </row>
    <row r="325" spans="1:3" x14ac:dyDescent="0.35">
      <c r="A325" s="195">
        <v>50</v>
      </c>
      <c r="B325" s="196"/>
      <c r="C325" s="197"/>
    </row>
    <row r="326" spans="1:3" x14ac:dyDescent="0.35">
      <c r="A326" s="195">
        <v>51</v>
      </c>
      <c r="B326" s="196" t="s">
        <v>234</v>
      </c>
      <c r="C326" s="197" t="str">
        <f>VLOOKUP(A326,Answers!$A$4:$I$276,3+$A$1)</f>
        <v>Unzutreffend</v>
      </c>
    </row>
    <row r="327" spans="1:3" x14ac:dyDescent="0.35">
      <c r="A327" s="195">
        <v>52</v>
      </c>
      <c r="B327" s="196" t="s">
        <v>233</v>
      </c>
      <c r="C327" s="197">
        <f>VLOOKUP(A327,Answers!$A$4:$I$276,3+$A$1)</f>
        <v>0</v>
      </c>
    </row>
    <row r="328" spans="1:3" x14ac:dyDescent="0.35">
      <c r="A328" s="195">
        <v>53</v>
      </c>
      <c r="B328" s="196"/>
      <c r="C328" s="197"/>
    </row>
    <row r="329" spans="1:3" x14ac:dyDescent="0.35">
      <c r="A329" s="195">
        <v>54</v>
      </c>
      <c r="B329" s="196" t="s">
        <v>238</v>
      </c>
      <c r="C329" s="197" t="str">
        <f>VLOOKUP(A329,Answers!$A$4:$I$276,3+$A$1)</f>
        <v>Mittel</v>
      </c>
    </row>
    <row r="330" spans="1:3" x14ac:dyDescent="0.35">
      <c r="A330" s="195">
        <v>55</v>
      </c>
      <c r="B330" s="196" t="s">
        <v>239</v>
      </c>
      <c r="C330" s="197" t="str">
        <f>VLOOKUP(A330,Answers!$A$4:$I$276,3+$A$1)</f>
        <v>Schlecht</v>
      </c>
    </row>
    <row r="331" spans="1:3" x14ac:dyDescent="0.35">
      <c r="A331" s="195">
        <v>56</v>
      </c>
      <c r="B331" s="196" t="s">
        <v>240</v>
      </c>
      <c r="C331" s="197">
        <f>VLOOKUP(A331,Answers!$A$4:$I$276,3+$A$1)</f>
        <v>0</v>
      </c>
    </row>
    <row r="332" spans="1:3" x14ac:dyDescent="0.35">
      <c r="A332" s="195">
        <v>57</v>
      </c>
      <c r="B332" s="196" t="s">
        <v>241</v>
      </c>
      <c r="C332" s="197" t="str">
        <f>VLOOKUP(A332,Answers!$A$4:$I$276,3+$A$1)</f>
        <v>Winkel 76°-90°</v>
      </c>
    </row>
    <row r="333" spans="1:3" x14ac:dyDescent="0.35">
      <c r="A333" s="195">
        <v>58</v>
      </c>
      <c r="B333" s="196" t="s">
        <v>242</v>
      </c>
      <c r="C333" s="197" t="str">
        <f>VLOOKUP(A333,Answers!$A$4:$I$276,3+$A$1)</f>
        <v>Winkel 45°-75°</v>
      </c>
    </row>
    <row r="334" spans="1:3" x14ac:dyDescent="0.35">
      <c r="A334" s="195">
        <v>59</v>
      </c>
      <c r="B334" s="196" t="s">
        <v>243</v>
      </c>
      <c r="C334" s="197">
        <f>VLOOKUP(A334,Answers!$A$4:$I$276,3+$A$1)</f>
        <v>0</v>
      </c>
    </row>
    <row r="335" spans="1:3" x14ac:dyDescent="0.35">
      <c r="A335" s="195">
        <v>60</v>
      </c>
      <c r="B335" s="196"/>
      <c r="C335" s="197"/>
    </row>
    <row r="336" spans="1:3" x14ac:dyDescent="0.35">
      <c r="A336" s="195">
        <v>61</v>
      </c>
      <c r="B336" s="196" t="s">
        <v>244</v>
      </c>
      <c r="C336" s="197" t="str">
        <f>VLOOKUP(A336,Answers!$A$4:$I$276,3+$A$1)</f>
        <v xml:space="preserve"> 2.30 m - 2.35 m</v>
      </c>
    </row>
    <row r="337" spans="1:3" x14ac:dyDescent="0.35">
      <c r="A337" s="195">
        <v>62</v>
      </c>
      <c r="B337" s="196" t="s">
        <v>245</v>
      </c>
      <c r="C337" s="197" t="str">
        <f>VLOOKUP(A337,Answers!$A$4:$I$276,3+$A$1)</f>
        <v xml:space="preserve"> 2.35 m - 2.40 m</v>
      </c>
    </row>
    <row r="338" spans="1:3" x14ac:dyDescent="0.35">
      <c r="A338" s="195">
        <v>63</v>
      </c>
      <c r="B338" s="196" t="s">
        <v>246</v>
      </c>
      <c r="C338" s="197" t="str">
        <f>VLOOKUP(A338,Answers!$A$4:$I$276,3+$A$1)</f>
        <v xml:space="preserve"> 2.40 m - 2.45 m</v>
      </c>
    </row>
    <row r="339" spans="1:3" x14ac:dyDescent="0.35">
      <c r="A339" s="195">
        <v>64</v>
      </c>
      <c r="B339" s="196" t="s">
        <v>247</v>
      </c>
      <c r="C339" s="197" t="str">
        <f>VLOOKUP(A339,Answers!$A$4:$I$276,3+$A$1)</f>
        <v xml:space="preserve"> 2.45 m - 2.50 m</v>
      </c>
    </row>
    <row r="340" spans="1:3" x14ac:dyDescent="0.35">
      <c r="A340" s="195">
        <v>65</v>
      </c>
      <c r="B340" s="196"/>
      <c r="C340" s="197"/>
    </row>
    <row r="341" spans="1:3" x14ac:dyDescent="0.35">
      <c r="A341" s="195">
        <v>66</v>
      </c>
      <c r="B341" s="196" t="s">
        <v>163</v>
      </c>
      <c r="C341" s="197">
        <f>VLOOKUP(A341,Answers!$A$4:$I$276,3+$A$1)</f>
        <v>0</v>
      </c>
    </row>
    <row r="342" spans="1:3" x14ac:dyDescent="0.35">
      <c r="A342" s="195">
        <v>67</v>
      </c>
      <c r="B342" s="196" t="s">
        <v>164</v>
      </c>
      <c r="C342" s="197" t="str">
        <f>VLOOKUP(A342,Answers!$A$4:$I$276,3+$A$1)</f>
        <v>Entspricht der Tabelle.</v>
      </c>
    </row>
    <row r="343" spans="1:3" x14ac:dyDescent="0.35">
      <c r="A343" s="195">
        <v>68</v>
      </c>
      <c r="B343" s="196" t="s">
        <v>165</v>
      </c>
      <c r="C343" s="197" t="str">
        <f>VLOOKUP(A343,Answers!$A$4:$I$276,3+$A$1)</f>
        <v>bis zu 30 cm weniger</v>
      </c>
    </row>
    <row r="344" spans="1:3" x14ac:dyDescent="0.35">
      <c r="A344" s="195">
        <v>69</v>
      </c>
      <c r="B344" s="196"/>
      <c r="C344" s="197"/>
    </row>
    <row r="345" spans="1:3" x14ac:dyDescent="0.35">
      <c r="A345" s="195">
        <v>70</v>
      </c>
      <c r="B345" s="196" t="s">
        <v>187</v>
      </c>
      <c r="C345" s="197" t="str">
        <f>VLOOKUP(A345,Answers!$A$4:$I$276,3+$A$1)</f>
        <v>über 60 cm weniger</v>
      </c>
    </row>
    <row r="346" spans="1:3" x14ac:dyDescent="0.35">
      <c r="A346" s="195">
        <v>71</v>
      </c>
      <c r="B346" s="196" t="s">
        <v>190</v>
      </c>
      <c r="C346" s="197">
        <f>VLOOKUP(A346,Answers!$A$4:$I$276,3+$A$1)</f>
        <v>0</v>
      </c>
    </row>
    <row r="347" spans="1:3" x14ac:dyDescent="0.35">
      <c r="A347" s="195">
        <v>72</v>
      </c>
      <c r="B347" s="196" t="s">
        <v>188</v>
      </c>
      <c r="C347" s="197" t="str">
        <f>VLOOKUP(A347,Answers!$A$4:$I$276,3+$A$1)</f>
        <v>Ja</v>
      </c>
    </row>
    <row r="348" spans="1:3" x14ac:dyDescent="0.35">
      <c r="A348" s="195">
        <v>73</v>
      </c>
      <c r="B348" s="196" t="s">
        <v>189</v>
      </c>
      <c r="C348" s="197" t="str">
        <f>VLOOKUP(A348,Answers!$A$4:$I$276,3+$A$1)</f>
        <v>kein Schutz</v>
      </c>
    </row>
    <row r="349" spans="1:3" x14ac:dyDescent="0.35">
      <c r="A349" s="195">
        <v>74</v>
      </c>
      <c r="B349" s="196"/>
      <c r="C349" s="197"/>
    </row>
    <row r="350" spans="1:3" x14ac:dyDescent="0.35">
      <c r="A350" s="195">
        <v>75</v>
      </c>
      <c r="B350" s="196" t="s">
        <v>191</v>
      </c>
      <c r="C350" s="197">
        <f>VLOOKUP(A350,Answers!$A$4:$I$276,3+$A$1)</f>
        <v>0</v>
      </c>
    </row>
    <row r="351" spans="1:3" x14ac:dyDescent="0.35">
      <c r="A351" s="195">
        <v>76</v>
      </c>
      <c r="B351" s="196" t="s">
        <v>192</v>
      </c>
      <c r="C351" s="197" t="str">
        <f>VLOOKUP(A351,Answers!$A$4:$I$276,3+$A$1)</f>
        <v>rutschhemmend</v>
      </c>
    </row>
    <row r="352" spans="1:3" x14ac:dyDescent="0.35">
      <c r="A352" s="195">
        <v>77</v>
      </c>
      <c r="B352" s="196" t="s">
        <v>131</v>
      </c>
      <c r="C352" s="197" t="str">
        <f>VLOOKUP(A352,Answers!$A$4:$I$276,3+$A$1)</f>
        <v>weich</v>
      </c>
    </row>
    <row r="353" spans="1:3" x14ac:dyDescent="0.35">
      <c r="A353" s="195">
        <v>78</v>
      </c>
      <c r="B353" s="196"/>
      <c r="C353" s="197"/>
    </row>
    <row r="354" spans="1:3" x14ac:dyDescent="0.35">
      <c r="A354" s="195">
        <v>79</v>
      </c>
      <c r="B354" s="196" t="s">
        <v>195</v>
      </c>
      <c r="C354" s="197">
        <f>VLOOKUP(A354,Answers!$A$4:$I$276,3+$A$1)</f>
        <v>0</v>
      </c>
    </row>
    <row r="355" spans="1:3" x14ac:dyDescent="0.35">
      <c r="A355" s="195">
        <v>80</v>
      </c>
      <c r="B355" s="196" t="s">
        <v>196</v>
      </c>
      <c r="C355" s="197" t="str">
        <f>VLOOKUP(A355,Answers!$A$4:$I$276,3+$A$1)</f>
        <v>kleiner als 10%</v>
      </c>
    </row>
    <row r="356" spans="1:3" x14ac:dyDescent="0.35">
      <c r="A356" s="195">
        <v>81</v>
      </c>
      <c r="B356" s="196" t="s">
        <v>131</v>
      </c>
      <c r="C356" s="197" t="str">
        <f>VLOOKUP(A356,Answers!$A$4:$I$276,3+$A$1)</f>
        <v>10% - 15%</v>
      </c>
    </row>
    <row r="357" spans="1:3" x14ac:dyDescent="0.35">
      <c r="A357" s="195">
        <v>82</v>
      </c>
      <c r="B357" s="196"/>
      <c r="C357" s="197"/>
    </row>
    <row r="358" spans="1:3" x14ac:dyDescent="0.35">
      <c r="A358" s="195">
        <v>83</v>
      </c>
      <c r="B358" s="196" t="s">
        <v>201</v>
      </c>
      <c r="C358" s="197" t="str">
        <f>VLOOKUP(A358,Answers!$A$4:$I$276,3+$A$1)</f>
        <v>Keine Rampen</v>
      </c>
    </row>
    <row r="359" spans="1:3" x14ac:dyDescent="0.35">
      <c r="A359" s="195">
        <v>84</v>
      </c>
      <c r="B359" s="196" t="s">
        <v>202</v>
      </c>
      <c r="C359" s="197">
        <f>VLOOKUP(A359,Answers!$A$4:$I$276,3+$A$1)</f>
        <v>0</v>
      </c>
    </row>
    <row r="360" spans="1:3" x14ac:dyDescent="0.35">
      <c r="A360" s="195">
        <v>85</v>
      </c>
      <c r="B360" s="196"/>
      <c r="C360" s="197"/>
    </row>
    <row r="361" spans="1:3" x14ac:dyDescent="0.35">
      <c r="A361" s="195">
        <v>86</v>
      </c>
      <c r="B361" s="196" t="s">
        <v>204</v>
      </c>
      <c r="C361" s="197" t="str">
        <f>VLOOKUP(A361,Answers!$A$4:$I$276,3+$A$1)</f>
        <v>3m - 3.3m</v>
      </c>
    </row>
    <row r="362" spans="1:3" x14ac:dyDescent="0.35">
      <c r="A362" s="195">
        <v>87</v>
      </c>
      <c r="B362" s="196" t="s">
        <v>205</v>
      </c>
      <c r="C362" s="197" t="str">
        <f>VLOOKUP(A362,Answers!$A$4:$I$276,3+$A$1)</f>
        <v>mehr als 3.3 m</v>
      </c>
    </row>
    <row r="363" spans="1:3" x14ac:dyDescent="0.35">
      <c r="A363" s="195">
        <v>88</v>
      </c>
      <c r="B363" s="196" t="s">
        <v>206</v>
      </c>
      <c r="C363" s="197" t="str">
        <f>VLOOKUP(A363,Answers!$A$4:$I$276,3+$A$1)</f>
        <v>Keine Rampen</v>
      </c>
    </row>
    <row r="364" spans="1:3" x14ac:dyDescent="0.35">
      <c r="A364" s="195">
        <v>89</v>
      </c>
      <c r="B364" s="196"/>
      <c r="C364" s="197"/>
    </row>
    <row r="365" spans="1:3" x14ac:dyDescent="0.35">
      <c r="A365" s="195">
        <v>90</v>
      </c>
      <c r="B365" s="196" t="s">
        <v>207</v>
      </c>
      <c r="C365" s="197" t="str">
        <f>VLOOKUP(A365,Answers!$A$4:$I$276,3+$A$1)</f>
        <v>weniger als 4 m</v>
      </c>
    </row>
    <row r="366" spans="1:3" x14ac:dyDescent="0.35">
      <c r="A366" s="195">
        <v>91</v>
      </c>
      <c r="B366" s="196" t="s">
        <v>208</v>
      </c>
      <c r="C366" s="197" t="str">
        <f>VLOOKUP(A366,Answers!$A$4:$I$276,3+$A$1)</f>
        <v>4m - 4.3m</v>
      </c>
    </row>
    <row r="367" spans="1:3" x14ac:dyDescent="0.35">
      <c r="A367" s="195">
        <v>92</v>
      </c>
      <c r="B367" s="196" t="s">
        <v>200</v>
      </c>
      <c r="C367" s="197" t="str">
        <f>VLOOKUP(A367,Answers!$A$4:$I$276,3+$A$1)</f>
        <v>mehr als 3.3 m</v>
      </c>
    </row>
    <row r="368" spans="1:3" x14ac:dyDescent="0.35">
      <c r="A368" s="195">
        <v>93</v>
      </c>
      <c r="B368" s="198"/>
      <c r="C368" s="197"/>
    </row>
    <row r="369" spans="1:3" x14ac:dyDescent="0.35">
      <c r="A369" s="195">
        <v>94</v>
      </c>
      <c r="B369" s="196" t="s">
        <v>257</v>
      </c>
      <c r="C369" s="197">
        <f>VLOOKUP(A369,Answers!$A$4:$I$276,3+$A$1)</f>
        <v>0</v>
      </c>
    </row>
    <row r="370" spans="1:3" x14ac:dyDescent="0.35">
      <c r="A370" s="195">
        <v>95</v>
      </c>
      <c r="B370" s="196" t="s">
        <v>258</v>
      </c>
      <c r="C370" s="197" t="str">
        <f>VLOOKUP(A370,Answers!$A$4:$I$276,3+$A$1)</f>
        <v>weniger als 9 m</v>
      </c>
    </row>
    <row r="371" spans="1:3" x14ac:dyDescent="0.35">
      <c r="A371" s="195">
        <v>96</v>
      </c>
      <c r="B371" s="196"/>
      <c r="C371" s="197"/>
    </row>
    <row r="372" spans="1:3" x14ac:dyDescent="0.35">
      <c r="A372" s="195">
        <v>97</v>
      </c>
      <c r="B372" s="196" t="s">
        <v>250</v>
      </c>
      <c r="C372" s="197" t="str">
        <f>VLOOKUP(A372,Answers!$A$4:$I$276,3+$A$1)</f>
        <v>mehr als 10m</v>
      </c>
    </row>
    <row r="373" spans="1:3" x14ac:dyDescent="0.35">
      <c r="A373" s="195">
        <v>98</v>
      </c>
      <c r="B373" s="196" t="s">
        <v>503</v>
      </c>
      <c r="C373" s="197" t="str">
        <f>VLOOKUP(A373,Answers!$A$4:$I$276,3+$A$1)</f>
        <v>Keine Rampen</v>
      </c>
    </row>
    <row r="374" spans="1:3" x14ac:dyDescent="0.35">
      <c r="A374" s="195">
        <v>99</v>
      </c>
      <c r="B374" s="196"/>
      <c r="C374" s="197"/>
    </row>
    <row r="375" spans="1:3" x14ac:dyDescent="0.35">
      <c r="A375" s="195">
        <v>100</v>
      </c>
      <c r="B375" s="196" t="s">
        <v>251</v>
      </c>
      <c r="C375" s="197" t="str">
        <f>VLOOKUP(A375,Answers!$A$4:$I$276,3+$A$1)</f>
        <v>Weniger als 7,5 m</v>
      </c>
    </row>
    <row r="376" spans="1:3" x14ac:dyDescent="0.35">
      <c r="A376" s="195">
        <v>101</v>
      </c>
      <c r="B376" s="196" t="s">
        <v>252</v>
      </c>
      <c r="C376" s="197" t="str">
        <f>VLOOKUP(A376,Answers!$A$4:$I$276,3+$A$1)</f>
        <v>Zwischen 7,5 m und 9 m</v>
      </c>
    </row>
    <row r="377" spans="1:3" x14ac:dyDescent="0.35">
      <c r="A377" s="195">
        <v>102</v>
      </c>
      <c r="B377" s="196"/>
      <c r="C377" s="197"/>
    </row>
    <row r="378" spans="1:3" x14ac:dyDescent="0.35">
      <c r="A378" s="195">
        <v>103</v>
      </c>
      <c r="B378" s="196" t="s">
        <v>259</v>
      </c>
      <c r="C378" s="197" t="str">
        <f>VLOOKUP(A378,Answers!$A$4:$I$276,3+$A$1)</f>
        <v>Keine Rampen</v>
      </c>
    </row>
    <row r="379" spans="1:3" x14ac:dyDescent="0.35">
      <c r="A379" s="195">
        <v>104</v>
      </c>
      <c r="B379" s="196" t="s">
        <v>260</v>
      </c>
      <c r="C379" s="197">
        <f>VLOOKUP(A379,Answers!$A$4:$I$276,3+$A$1)</f>
        <v>0</v>
      </c>
    </row>
    <row r="380" spans="1:3" x14ac:dyDescent="0.35">
      <c r="A380" s="195">
        <v>105</v>
      </c>
      <c r="B380" s="196" t="s">
        <v>261</v>
      </c>
      <c r="C380" s="197" t="str">
        <f>VLOOKUP(A380,Answers!$A$4:$I$276,3+$A$1)</f>
        <v>weniger als 5%</v>
      </c>
    </row>
    <row r="381" spans="1:3" x14ac:dyDescent="0.35">
      <c r="A381" s="195">
        <v>106</v>
      </c>
      <c r="B381" s="196"/>
      <c r="C381" s="197"/>
    </row>
    <row r="382" spans="1:3" x14ac:dyDescent="0.35">
      <c r="A382" s="195">
        <v>107</v>
      </c>
      <c r="B382" s="196" t="s">
        <v>263</v>
      </c>
      <c r="C382" s="197" t="str">
        <f>VLOOKUP(A382,Answers!$A$4:$I$276,3+$A$1)</f>
        <v>mehr als 7%</v>
      </c>
    </row>
    <row r="383" spans="1:3" x14ac:dyDescent="0.35">
      <c r="A383" s="195">
        <v>108</v>
      </c>
      <c r="B383" s="196" t="s">
        <v>262</v>
      </c>
      <c r="C383" s="197" t="str">
        <f>VLOOKUP(A383,Answers!$A$4:$I$276,3+$A$1)</f>
        <v>Kein Gefälle</v>
      </c>
    </row>
    <row r="384" spans="1:3" x14ac:dyDescent="0.35">
      <c r="A384" s="195">
        <v>109</v>
      </c>
      <c r="B384" s="196"/>
      <c r="C384" s="197"/>
    </row>
    <row r="385" spans="1:3" x14ac:dyDescent="0.35">
      <c r="A385" s="195">
        <v>110</v>
      </c>
      <c r="B385" s="196" t="s">
        <v>295</v>
      </c>
      <c r="C385" s="197" t="str">
        <f>VLOOKUP(A385,Answers!$A$4:$I$276,3+$A$1)</f>
        <v>weniger als 2m</v>
      </c>
    </row>
    <row r="386" spans="1:3" x14ac:dyDescent="0.35">
      <c r="A386" s="195">
        <v>111</v>
      </c>
      <c r="B386" s="196" t="s">
        <v>296</v>
      </c>
      <c r="C386" s="197" t="str">
        <f>VLOOKUP(A386,Answers!$A$4:$I$276,3+$A$1)</f>
        <v>2.00m – 2.10m</v>
      </c>
    </row>
    <row r="387" spans="1:3" x14ac:dyDescent="0.35">
      <c r="A387" s="195">
        <v>112</v>
      </c>
      <c r="B387" s="196" t="s">
        <v>294</v>
      </c>
      <c r="C387" s="197" t="str">
        <f>VLOOKUP(A387,Answers!$A$4:$I$276,3+$A$1)</f>
        <v>2.10m – 2.20m</v>
      </c>
    </row>
    <row r="388" spans="1:3" x14ac:dyDescent="0.35">
      <c r="A388" s="195">
        <v>113</v>
      </c>
      <c r="B388" s="196"/>
      <c r="C388" s="197"/>
    </row>
    <row r="389" spans="1:3" x14ac:dyDescent="0.35">
      <c r="A389" s="195">
        <v>114</v>
      </c>
      <c r="B389" s="196" t="s">
        <v>295</v>
      </c>
      <c r="C389" s="197">
        <f>VLOOKUP(A389,Answers!$A$4:$I$276,3+$A$1)</f>
        <v>0</v>
      </c>
    </row>
    <row r="390" spans="1:3" x14ac:dyDescent="0.35">
      <c r="A390" s="195">
        <v>115</v>
      </c>
      <c r="B390" s="196" t="s">
        <v>298</v>
      </c>
      <c r="C390" s="197" t="str">
        <f>VLOOKUP(A390,Answers!$A$4:$I$276,3+$A$1)</f>
        <v>Ja (automatisch oder offene Verbindung)</v>
      </c>
    </row>
    <row r="391" spans="1:3" x14ac:dyDescent="0.35">
      <c r="A391" s="195">
        <v>116</v>
      </c>
      <c r="B391" s="196" t="s">
        <v>297</v>
      </c>
      <c r="C391" s="197" t="str">
        <f>VLOOKUP(A391,Answers!$A$4:$I$276,3+$A$1)</f>
        <v>Leicht zu öffnen</v>
      </c>
    </row>
    <row r="392" spans="1:3" x14ac:dyDescent="0.35">
      <c r="A392" s="195">
        <v>117</v>
      </c>
      <c r="B392" s="196" t="s">
        <v>131</v>
      </c>
      <c r="C392" s="197" t="str">
        <f>VLOOKUP(A392,Answers!$A$4:$I$276,3+$A$1)</f>
        <v>Nein</v>
      </c>
    </row>
    <row r="393" spans="1:3" x14ac:dyDescent="0.35">
      <c r="A393" s="195">
        <v>118</v>
      </c>
      <c r="B393" s="196"/>
      <c r="C393" s="197"/>
    </row>
    <row r="394" spans="1:3" x14ac:dyDescent="0.35">
      <c r="A394" s="195">
        <v>119</v>
      </c>
      <c r="B394" s="196" t="s">
        <v>300</v>
      </c>
      <c r="C394" s="197" t="str">
        <f>VLOOKUP(A394,Answers!$A$4:$I$276,3+$A$1)</f>
        <v>Ein Aufzug</v>
      </c>
    </row>
    <row r="395" spans="1:3" x14ac:dyDescent="0.35">
      <c r="A395" s="195">
        <v>120</v>
      </c>
      <c r="B395" s="196" t="s">
        <v>301</v>
      </c>
      <c r="C395" s="197" t="str">
        <f>VLOOKUP(A395,Answers!$A$4:$I$276,3+$A$1)</f>
        <v>Zwei oder mehr Aufzüge</v>
      </c>
    </row>
    <row r="396" spans="1:3" x14ac:dyDescent="0.35">
      <c r="A396" s="195">
        <v>121</v>
      </c>
      <c r="B396" s="196" t="s">
        <v>303</v>
      </c>
      <c r="C396" s="197">
        <f>VLOOKUP(A396,Answers!$A$4:$I$276,3+$A$1)</f>
        <v>0</v>
      </c>
    </row>
    <row r="397" spans="1:3" x14ac:dyDescent="0.35">
      <c r="A397" s="195">
        <v>122</v>
      </c>
      <c r="B397" s="196" t="s">
        <v>302</v>
      </c>
      <c r="C397" s="197" t="str">
        <f>VLOOKUP(A397,Answers!$A$4:$I$276,3+$A$1)</f>
        <v>Mehr als 8 Personen</v>
      </c>
    </row>
    <row r="398" spans="1:3" x14ac:dyDescent="0.35">
      <c r="A398" s="195">
        <v>123</v>
      </c>
      <c r="B398" s="198"/>
      <c r="C398" s="197"/>
    </row>
    <row r="399" spans="1:3" x14ac:dyDescent="0.35">
      <c r="A399" s="195">
        <v>124</v>
      </c>
      <c r="B399" s="196" t="s">
        <v>307</v>
      </c>
      <c r="C399" s="197" t="str">
        <f>VLOOKUP(A399,Answers!$A$4:$I$276,3+$A$1)</f>
        <v>Weniger als 4</v>
      </c>
    </row>
    <row r="400" spans="1:3" x14ac:dyDescent="0.35">
      <c r="A400" s="195">
        <v>125</v>
      </c>
      <c r="B400" s="196" t="s">
        <v>308</v>
      </c>
      <c r="C400" s="197">
        <f>VLOOKUP(A400,Answers!$A$4:$I$276,3+$A$1)</f>
        <v>0</v>
      </c>
    </row>
    <row r="401" spans="1:3" x14ac:dyDescent="0.35">
      <c r="A401" s="195">
        <v>126</v>
      </c>
      <c r="B401" s="196" t="s">
        <v>305</v>
      </c>
      <c r="C401" s="197" t="str">
        <f>VLOOKUP(A401,Answers!$A$4:$I$276,3+$A$1)</f>
        <v>Keine Sicht aus dem Aufzug</v>
      </c>
    </row>
    <row r="402" spans="1:3" x14ac:dyDescent="0.35">
      <c r="A402" s="195">
        <v>127</v>
      </c>
      <c r="B402" s="196" t="s">
        <v>306</v>
      </c>
      <c r="C402" s="197" t="str">
        <f>VLOOKUP(A402,Answers!$A$4:$I$276,3+$A$1)</f>
        <v>Verglaste Türen/Wände</v>
      </c>
    </row>
    <row r="403" spans="1:3" x14ac:dyDescent="0.35">
      <c r="A403" s="195">
        <v>128</v>
      </c>
      <c r="B403" s="199"/>
      <c r="C403" s="197"/>
    </row>
    <row r="404" spans="1:3" x14ac:dyDescent="0.35">
      <c r="A404" s="195">
        <v>129</v>
      </c>
      <c r="B404" s="196" t="s">
        <v>311</v>
      </c>
      <c r="C404" s="197">
        <f>VLOOKUP(A404,Answers!$A$4:$I$276,3+$A$1)</f>
        <v>0</v>
      </c>
    </row>
    <row r="405" spans="1:3" x14ac:dyDescent="0.35">
      <c r="A405" s="195">
        <v>130</v>
      </c>
      <c r="B405" s="196" t="s">
        <v>313</v>
      </c>
      <c r="C405" s="197" t="str">
        <f>VLOOKUP(A405,Answers!$A$4:$I$276,3+$A$1)</f>
        <v>weniger als 1,5 m</v>
      </c>
    </row>
    <row r="406" spans="1:3" x14ac:dyDescent="0.35">
      <c r="A406" s="195">
        <v>131</v>
      </c>
      <c r="B406" s="196" t="s">
        <v>312</v>
      </c>
      <c r="C406" s="197" t="str">
        <f>VLOOKUP(A406,Answers!$A$4:$I$276,3+$A$1)</f>
        <v>mehr als 1,5 m</v>
      </c>
    </row>
    <row r="407" spans="1:3" x14ac:dyDescent="0.35">
      <c r="A407" s="195">
        <v>132</v>
      </c>
      <c r="B407" s="196"/>
      <c r="C407" s="197"/>
    </row>
    <row r="408" spans="1:3" x14ac:dyDescent="0.35">
      <c r="A408" s="195">
        <v>133</v>
      </c>
      <c r="B408" s="196" t="s">
        <v>318</v>
      </c>
      <c r="C408" s="197" t="str">
        <f>VLOOKUP(A408,Answers!$A$4:$I$276,3+$A$1)</f>
        <v>weniger als 90cm</v>
      </c>
    </row>
    <row r="409" spans="1:3" x14ac:dyDescent="0.35">
      <c r="A409" s="195">
        <v>134</v>
      </c>
      <c r="B409" s="196" t="s">
        <v>317</v>
      </c>
      <c r="C409" s="197" t="str">
        <f>VLOOKUP(A409,Answers!$A$4:$I$276,3+$A$1)</f>
        <v>größer oder gleich 90 cm</v>
      </c>
    </row>
    <row r="410" spans="1:3" x14ac:dyDescent="0.35">
      <c r="A410" s="195">
        <v>135</v>
      </c>
      <c r="B410" s="196"/>
      <c r="C410" s="197"/>
    </row>
    <row r="411" spans="1:3" x14ac:dyDescent="0.35">
      <c r="A411" s="195">
        <v>136</v>
      </c>
      <c r="B411" s="196" t="s">
        <v>149</v>
      </c>
      <c r="C411" s="197" t="str">
        <f>VLOOKUP(A411,Answers!$A$4:$I$276,3+$A$1)</f>
        <v>Verglaste Türen/Wände</v>
      </c>
    </row>
    <row r="412" spans="1:3" x14ac:dyDescent="0.35">
      <c r="A412" s="195">
        <v>137</v>
      </c>
      <c r="B412" s="196" t="s">
        <v>319</v>
      </c>
      <c r="C412" s="197" t="str">
        <f>VLOOKUP(A412,Answers!$A$4:$I$276,3+$A$1)</f>
        <v>Kein Glas</v>
      </c>
    </row>
    <row r="413" spans="1:3" x14ac:dyDescent="0.35">
      <c r="A413" s="195">
        <v>138</v>
      </c>
      <c r="B413" s="196" t="s">
        <v>320</v>
      </c>
      <c r="C413" s="197">
        <f>VLOOKUP(A413,Answers!$A$4:$I$276,3+$A$1)</f>
        <v>0</v>
      </c>
    </row>
    <row r="414" spans="1:3" x14ac:dyDescent="0.35">
      <c r="A414" s="195">
        <v>139</v>
      </c>
      <c r="B414" s="196" t="s">
        <v>131</v>
      </c>
      <c r="C414" s="197" t="str">
        <f>VLOOKUP(A414,Answers!$A$4:$I$276,3+$A$1)</f>
        <v>Kein Handlauf</v>
      </c>
    </row>
    <row r="415" spans="1:3" x14ac:dyDescent="0.35">
      <c r="A415" s="195">
        <v>140</v>
      </c>
      <c r="B415" s="196"/>
      <c r="C415" s="197"/>
    </row>
    <row r="416" spans="1:3" x14ac:dyDescent="0.35">
      <c r="A416" s="195">
        <v>141</v>
      </c>
      <c r="B416" s="196" t="s">
        <v>324</v>
      </c>
      <c r="C416" s="197" t="str">
        <f>VLOOKUP(A416,Answers!$A$4:$I$276,3+$A$1)</f>
        <v>Zwei Seiten</v>
      </c>
    </row>
    <row r="417" spans="1:3" x14ac:dyDescent="0.35">
      <c r="A417" s="195">
        <v>142</v>
      </c>
      <c r="B417" s="196" t="s">
        <v>325</v>
      </c>
      <c r="C417" s="197">
        <f>VLOOKUP(A417,Answers!$A$4:$I$276,3+$A$1)</f>
        <v>0</v>
      </c>
    </row>
    <row r="418" spans="1:3" x14ac:dyDescent="0.35">
      <c r="A418" s="195">
        <v>143</v>
      </c>
      <c r="B418" s="196" t="s">
        <v>326</v>
      </c>
      <c r="C418" s="197" t="str">
        <f>VLOOKUP(A418,Answers!$A$4:$I$276,3+$A$1)</f>
        <v>Fenster/vergittert</v>
      </c>
    </row>
    <row r="419" spans="1:3" x14ac:dyDescent="0.35">
      <c r="A419" s="195">
        <v>144</v>
      </c>
      <c r="B419" s="196" t="s">
        <v>327</v>
      </c>
      <c r="C419" s="197" t="str">
        <f>VLOOKUP(A419,Answers!$A$4:$I$276,3+$A$1)</f>
        <v>Nichts</v>
      </c>
    </row>
    <row r="420" spans="1:3" x14ac:dyDescent="0.35">
      <c r="A420" s="195">
        <v>145</v>
      </c>
      <c r="B420" s="196"/>
      <c r="C420" s="197"/>
    </row>
    <row r="421" spans="1:3" x14ac:dyDescent="0.35">
      <c r="A421" s="195">
        <v>146</v>
      </c>
      <c r="B421" s="196" t="s">
        <v>149</v>
      </c>
      <c r="C421" s="197" t="str">
        <f>VLOOKUP(A421,Answers!$A$4:$I$276,3+$A$1)</f>
        <v>24*7</v>
      </c>
    </row>
    <row r="422" spans="1:3" x14ac:dyDescent="0.35">
      <c r="A422" s="195">
        <v>147</v>
      </c>
      <c r="B422" s="196" t="s">
        <v>319</v>
      </c>
      <c r="C422" s="197" t="str">
        <f>VLOOKUP(A422,Answers!$A$4:$I$276,3+$A$1)</f>
        <v>Gesamte Öffnungszeit, wenn nicht 24*7</v>
      </c>
    </row>
    <row r="423" spans="1:3" x14ac:dyDescent="0.35">
      <c r="A423" s="195">
        <v>148</v>
      </c>
      <c r="B423" s="196" t="s">
        <v>320</v>
      </c>
      <c r="C423" s="197" t="str">
        <f>VLOOKUP(A423,Answers!$A$4:$I$276,3+$A$1)</f>
        <v>Teilweise/nicht verfügbar</v>
      </c>
    </row>
    <row r="424" spans="1:3" x14ac:dyDescent="0.35">
      <c r="A424" s="195">
        <v>149</v>
      </c>
      <c r="B424" s="196" t="s">
        <v>328</v>
      </c>
      <c r="C424" s="197">
        <f>VLOOKUP(A424,Answers!$A$4:$I$276,3+$A$1)</f>
        <v>0</v>
      </c>
    </row>
    <row r="425" spans="1:3" x14ac:dyDescent="0.35">
      <c r="A425" s="195">
        <v>150</v>
      </c>
      <c r="B425" s="196" t="s">
        <v>329</v>
      </c>
      <c r="C425" s="197" t="str">
        <f>VLOOKUP(A425,Answers!$A$4:$I$276,3+$A$1)</f>
        <v>24*7</v>
      </c>
    </row>
    <row r="426" spans="1:3" x14ac:dyDescent="0.35">
      <c r="A426" s="195">
        <v>151</v>
      </c>
      <c r="B426" s="196"/>
      <c r="C426" s="197"/>
    </row>
    <row r="427" spans="1:3" x14ac:dyDescent="0.35">
      <c r="A427" s="195">
        <v>152</v>
      </c>
      <c r="B427" s="196" t="s">
        <v>149</v>
      </c>
      <c r="C427" s="197" t="str">
        <f>VLOOKUP(A427,Answers!$A$4:$I$276,3+$A$1)</f>
        <v>Weniger als die Öffnungszeiten</v>
      </c>
    </row>
    <row r="428" spans="1:3" x14ac:dyDescent="0.35">
      <c r="A428" s="195">
        <v>153</v>
      </c>
      <c r="B428" s="196" t="s">
        <v>330</v>
      </c>
      <c r="C428" s="197" t="str">
        <f>VLOOKUP(A428,Answers!$A$4:$I$276,3+$A$1)</f>
        <v>Nein</v>
      </c>
    </row>
    <row r="429" spans="1:3" x14ac:dyDescent="0.35">
      <c r="A429" s="195">
        <v>154</v>
      </c>
      <c r="B429" s="196" t="s">
        <v>328</v>
      </c>
      <c r="C429" s="197">
        <f>VLOOKUP(A429,Answers!$A$4:$I$276,3+$A$1)</f>
        <v>0</v>
      </c>
    </row>
    <row r="430" spans="1:3" x14ac:dyDescent="0.35">
      <c r="A430" s="195">
        <v>155</v>
      </c>
      <c r="B430" s="199"/>
      <c r="C430" s="197"/>
    </row>
    <row r="431" spans="1:3" x14ac:dyDescent="0.35">
      <c r="A431" s="195">
        <v>156</v>
      </c>
      <c r="B431" s="196" t="s">
        <v>333</v>
      </c>
      <c r="C431" s="197" t="str">
        <f>VLOOKUP(A431,Answers!$A$4:$I$276,3+$A$1)</f>
        <v>Gesichert: Schnelllauftor tagsüber</v>
      </c>
    </row>
    <row r="432" spans="1:3" x14ac:dyDescent="0.35">
      <c r="A432" s="195">
        <v>157</v>
      </c>
      <c r="B432" s="196" t="s">
        <v>334</v>
      </c>
      <c r="C432" s="197" t="str">
        <f>VLOOKUP(A432,Answers!$A$4:$I$276,3+$A$1)</f>
        <v>Gesichert: langsam öffnendes Tor tagsüber</v>
      </c>
    </row>
    <row r="433" spans="1:3" x14ac:dyDescent="0.35">
      <c r="A433" s="195">
        <v>158</v>
      </c>
      <c r="B433" s="196" t="s">
        <v>328</v>
      </c>
      <c r="C433" s="197" t="str">
        <f>VLOOKUP(A433,Answers!$A$4:$I$276,3+$A$1)</f>
        <v>Keine Sicherung</v>
      </c>
    </row>
    <row r="434" spans="1:3" x14ac:dyDescent="0.35">
      <c r="A434" s="195">
        <v>159</v>
      </c>
      <c r="B434" s="196"/>
      <c r="C434" s="197"/>
    </row>
    <row r="435" spans="1:3" x14ac:dyDescent="0.35">
      <c r="A435" s="195">
        <v>160</v>
      </c>
      <c r="B435" s="196" t="s">
        <v>357</v>
      </c>
      <c r="C435" s="197" t="str">
        <f>VLOOKUP(A435,Answers!$A$4:$I$276,3+$A$1)</f>
        <v>Größte Öffnung in Tür/Tor/Rollgitter &lt;= 15 cm</v>
      </c>
    </row>
    <row r="436" spans="1:3" x14ac:dyDescent="0.35">
      <c r="A436" s="195">
        <v>161</v>
      </c>
      <c r="B436" s="196" t="s">
        <v>356</v>
      </c>
      <c r="C436" s="197" t="str">
        <f>VLOOKUP(A436,Answers!$A$4:$I$276,3+$A$1)</f>
        <v>Größte Öffnung in Tür/Tor/Rollgitter &gt; 15cm</v>
      </c>
    </row>
    <row r="437" spans="1:3" x14ac:dyDescent="0.35">
      <c r="A437" s="195">
        <v>162</v>
      </c>
      <c r="B437" s="196" t="s">
        <v>358</v>
      </c>
      <c r="C437" s="197" t="str">
        <f>VLOOKUP(A437,Answers!$A$4:$I$276,3+$A$1)</f>
        <v>Keine Öffnung</v>
      </c>
    </row>
    <row r="438" spans="1:3" x14ac:dyDescent="0.35">
      <c r="A438" s="195">
        <v>163</v>
      </c>
      <c r="B438" s="196" t="s">
        <v>359</v>
      </c>
      <c r="C438" s="197" t="str">
        <f>VLOOKUP(A438,Answers!$A$4:$I$276,3+$A$1)</f>
        <v>Unzutreffend (24 Stunden geöffnet)</v>
      </c>
    </row>
    <row r="439" spans="1:3" x14ac:dyDescent="0.35">
      <c r="A439" s="195">
        <v>164</v>
      </c>
      <c r="B439" s="196"/>
      <c r="C439" s="197"/>
    </row>
    <row r="440" spans="1:3" x14ac:dyDescent="0.35">
      <c r="A440" s="195">
        <v>165</v>
      </c>
      <c r="B440" s="196" t="s">
        <v>362</v>
      </c>
      <c r="C440" s="197" t="str">
        <f>VLOOKUP(A440,Answers!$A$4:$I$276,3+$A$1)</f>
        <v>kleiner oder gleich 15 cm</v>
      </c>
    </row>
    <row r="441" spans="1:3" x14ac:dyDescent="0.35">
      <c r="A441" s="195">
        <v>166</v>
      </c>
      <c r="B441" s="196" t="s">
        <v>363</v>
      </c>
      <c r="C441" s="197" t="str">
        <f>VLOOKUP(A441,Answers!$A$4:$I$276,3+$A$1)</f>
        <v>größer als 15 cm oder kein Sicherung</v>
      </c>
    </row>
    <row r="442" spans="1:3" x14ac:dyDescent="0.35">
      <c r="A442" s="195">
        <v>167</v>
      </c>
      <c r="B442" s="196" t="s">
        <v>364</v>
      </c>
      <c r="C442" s="197" t="str">
        <f>VLOOKUP(A442,Answers!$A$4:$I$276,3+$A$1)</f>
        <v>Unzutreffend (keine Öffnungen nach außen)</v>
      </c>
    </row>
    <row r="443" spans="1:3" x14ac:dyDescent="0.35">
      <c r="A443" s="195">
        <v>168</v>
      </c>
      <c r="B443" s="196" t="s">
        <v>539</v>
      </c>
      <c r="C443" s="197">
        <f>VLOOKUP(A443,Answers!$A$4:$I$276,3+$A$1)</f>
        <v>0</v>
      </c>
    </row>
    <row r="444" spans="1:3" x14ac:dyDescent="0.35">
      <c r="A444" s="195">
        <v>169</v>
      </c>
      <c r="B444" s="199"/>
      <c r="C444" s="197"/>
    </row>
    <row r="445" spans="1:3" x14ac:dyDescent="0.35">
      <c r="A445" s="195">
        <v>170</v>
      </c>
      <c r="B445" s="196" t="s">
        <v>366</v>
      </c>
      <c r="C445" s="197" t="str">
        <f>VLOOKUP(A445,Answers!$A$4:$I$276,3+$A$1)</f>
        <v>Nein/schlecht</v>
      </c>
    </row>
    <row r="446" spans="1:3" x14ac:dyDescent="0.35">
      <c r="A446" s="195">
        <v>171</v>
      </c>
      <c r="B446" s="196" t="s">
        <v>367</v>
      </c>
      <c r="C446" s="197">
        <f>VLOOKUP(A446,Answers!$A$4:$I$276,3+$A$1)</f>
        <v>0</v>
      </c>
    </row>
    <row r="447" spans="1:3" x14ac:dyDescent="0.35">
      <c r="A447" s="195">
        <v>172</v>
      </c>
      <c r="B447" s="196" t="s">
        <v>368</v>
      </c>
      <c r="C447" s="197" t="str">
        <f>VLOOKUP(A447,Answers!$A$4:$I$276,3+$A$1)</f>
        <v>Gut</v>
      </c>
    </row>
    <row r="448" spans="1:3" x14ac:dyDescent="0.35">
      <c r="A448" s="195">
        <v>173</v>
      </c>
      <c r="B448" s="199"/>
      <c r="C448" s="197"/>
    </row>
    <row r="449" spans="1:3" x14ac:dyDescent="0.35">
      <c r="A449" s="195">
        <v>174</v>
      </c>
      <c r="B449" s="196" t="s">
        <v>373</v>
      </c>
      <c r="C449" s="197" t="str">
        <f>VLOOKUP(A449,Answers!$A$4:$I$276,3+$A$1)</f>
        <v>Schlecht</v>
      </c>
    </row>
    <row r="450" spans="1:3" x14ac:dyDescent="0.35">
      <c r="A450" s="195">
        <v>175</v>
      </c>
      <c r="B450" s="196" t="s">
        <v>374</v>
      </c>
      <c r="C450" s="197" t="str">
        <f>VLOOKUP(A450,Answers!$A$4:$I$276,3+$A$1)</f>
        <v>Nein</v>
      </c>
    </row>
    <row r="451" spans="1:3" x14ac:dyDescent="0.35">
      <c r="A451" s="195">
        <v>176</v>
      </c>
      <c r="B451" s="196"/>
      <c r="C451" s="197"/>
    </row>
    <row r="452" spans="1:3" x14ac:dyDescent="0.35">
      <c r="A452" s="195">
        <v>177</v>
      </c>
      <c r="B452" s="196" t="s">
        <v>379</v>
      </c>
      <c r="C452" s="197" t="str">
        <f>VLOOKUP(A452,Answers!$A$4:$I$276,3+$A$1)</f>
        <v>Deutlich von allen Standorten</v>
      </c>
    </row>
    <row r="453" spans="1:3" x14ac:dyDescent="0.35">
      <c r="A453" s="195">
        <v>178</v>
      </c>
      <c r="B453" s="196" t="s">
        <v>381</v>
      </c>
      <c r="C453" s="197" t="str">
        <f>VLOOKUP(A453,Answers!$A$4:$I$276,3+$A$1)</f>
        <v>Deutlich von den meisten Standorten</v>
      </c>
    </row>
    <row r="454" spans="1:3" x14ac:dyDescent="0.35">
      <c r="A454" s="195">
        <v>179</v>
      </c>
      <c r="B454" s="199"/>
      <c r="C454" s="197"/>
    </row>
    <row r="455" spans="1:3" x14ac:dyDescent="0.35">
      <c r="A455" s="195">
        <v>180</v>
      </c>
      <c r="B455" s="196" t="s">
        <v>380</v>
      </c>
      <c r="C455" s="197" t="str">
        <f>VLOOKUP(A455,Answers!$A$4:$I$276,3+$A$1)</f>
        <v>Keine Kennzeichnung von Fluchtwegen</v>
      </c>
    </row>
    <row r="456" spans="1:3" x14ac:dyDescent="0.35">
      <c r="A456" s="195">
        <v>181</v>
      </c>
      <c r="B456" s="196" t="s">
        <v>381</v>
      </c>
      <c r="C456" s="197">
        <f>VLOOKUP(A456,Answers!$A$4:$I$276,3+$A$1)</f>
        <v>0</v>
      </c>
    </row>
    <row r="457" spans="1:3" x14ac:dyDescent="0.35">
      <c r="A457" s="195">
        <v>182</v>
      </c>
      <c r="B457" s="199"/>
      <c r="C457" s="197"/>
    </row>
    <row r="458" spans="1:3" x14ac:dyDescent="0.35">
      <c r="A458" s="195">
        <v>183</v>
      </c>
      <c r="B458" s="196" t="s">
        <v>395</v>
      </c>
      <c r="C458" s="197" t="str">
        <f>VLOOKUP(A458,Answers!$A$4:$I$276,3+$A$1)</f>
        <v>Befriedigend</v>
      </c>
    </row>
    <row r="459" spans="1:3" x14ac:dyDescent="0.35">
      <c r="A459" s="195">
        <v>184</v>
      </c>
      <c r="B459" s="196" t="s">
        <v>396</v>
      </c>
      <c r="C459" s="197" t="str">
        <f>VLOOKUP(A459,Answers!$A$4:$I$276,3+$A$1)</f>
        <v>Schlecht</v>
      </c>
    </row>
    <row r="460" spans="1:3" x14ac:dyDescent="0.35">
      <c r="A460" s="195">
        <v>185</v>
      </c>
      <c r="B460" s="196" t="s">
        <v>328</v>
      </c>
      <c r="C460" s="197" t="str">
        <f>VLOOKUP(A460,Answers!$A$4:$I$276,3+$A$1)</f>
        <v>Keine</v>
      </c>
    </row>
    <row r="461" spans="1:3" x14ac:dyDescent="0.35">
      <c r="A461" s="195">
        <v>186</v>
      </c>
      <c r="B461" s="196"/>
      <c r="C461" s="197"/>
    </row>
    <row r="462" spans="1:3" x14ac:dyDescent="0.35">
      <c r="A462" s="195">
        <v>187</v>
      </c>
      <c r="B462" s="196" t="s">
        <v>265</v>
      </c>
      <c r="C462" s="197">
        <f>VLOOKUP(A462,Answers!$A$4:$I$276,3+$A$1)</f>
        <v>0</v>
      </c>
    </row>
    <row r="463" spans="1:3" x14ac:dyDescent="0.35">
      <c r="A463" s="195">
        <v>188</v>
      </c>
      <c r="B463" s="196" t="s">
        <v>266</v>
      </c>
      <c r="C463" s="197" t="str">
        <f>VLOOKUP(A463,Answers!$A$4:$I$276,3+$A$1)</f>
        <v>Gut</v>
      </c>
    </row>
    <row r="464" spans="1:3" x14ac:dyDescent="0.35">
      <c r="A464" s="195">
        <v>189</v>
      </c>
      <c r="B464" s="196" t="s">
        <v>267</v>
      </c>
      <c r="C464" s="197" t="str">
        <f>VLOOKUP(A464,Answers!$A$4:$I$276,3+$A$1)</f>
        <v>Einige</v>
      </c>
    </row>
    <row r="465" spans="1:3" x14ac:dyDescent="0.35">
      <c r="A465" s="195">
        <v>190</v>
      </c>
      <c r="B465" s="199"/>
      <c r="C465" s="197"/>
    </row>
    <row r="466" spans="1:3" x14ac:dyDescent="0.35">
      <c r="A466" s="195">
        <v>191</v>
      </c>
      <c r="B466" s="196" t="s">
        <v>167</v>
      </c>
      <c r="C466" s="197">
        <f>VLOOKUP(A466,Answers!$A$4:$I$276,3+$A$1)</f>
        <v>0</v>
      </c>
    </row>
    <row r="467" spans="1:3" x14ac:dyDescent="0.35">
      <c r="A467" s="195">
        <v>192</v>
      </c>
      <c r="B467" s="196" t="s">
        <v>168</v>
      </c>
      <c r="C467" s="197" t="str">
        <f>VLOOKUP(A467,Answers!$A$4:$I$276,3+$A$1)</f>
        <v>Nummeriert einschießlich Geschoßidentifizierung</v>
      </c>
    </row>
    <row r="468" spans="1:3" x14ac:dyDescent="0.35">
      <c r="A468" s="195">
        <v>193</v>
      </c>
      <c r="B468" s="196" t="s">
        <v>169</v>
      </c>
      <c r="C468" s="197" t="str">
        <f>VLOOKUP(A468,Answers!$A$4:$I$276,3+$A$1)</f>
        <v>Nur nummeriert</v>
      </c>
    </row>
    <row r="469" spans="1:3" x14ac:dyDescent="0.35">
      <c r="A469" s="195">
        <v>194</v>
      </c>
      <c r="B469" s="196" t="s">
        <v>170</v>
      </c>
      <c r="C469" s="197" t="str">
        <f>VLOOKUP(A469,Answers!$A$4:$I$276,3+$A$1)</f>
        <v>Keine</v>
      </c>
    </row>
    <row r="470" spans="1:3" x14ac:dyDescent="0.35">
      <c r="A470" s="195">
        <v>195</v>
      </c>
      <c r="B470" s="198"/>
      <c r="C470" s="197"/>
    </row>
    <row r="471" spans="1:3" x14ac:dyDescent="0.35">
      <c r="A471" s="195">
        <v>196</v>
      </c>
      <c r="B471" s="196" t="s">
        <v>173</v>
      </c>
      <c r="C471" s="197" t="str">
        <f>VLOOKUP(A471,Answers!$A$4:$I$276,3+$A$1)</f>
        <v>Verfügbare Plätze</v>
      </c>
    </row>
    <row r="472" spans="1:3" x14ac:dyDescent="0.35">
      <c r="A472" s="195">
        <v>197</v>
      </c>
      <c r="B472" s="196" t="s">
        <v>174</v>
      </c>
      <c r="C472" s="197" t="str">
        <f>VLOOKUP(A472,Answers!$A$4:$I$276,3+$A$1)</f>
        <v>Frei / Besetzt</v>
      </c>
    </row>
    <row r="473" spans="1:3" x14ac:dyDescent="0.35">
      <c r="A473" s="195">
        <v>198</v>
      </c>
      <c r="B473" s="196" t="s">
        <v>175</v>
      </c>
      <c r="C473" s="197" t="str">
        <f>VLOOKUP(A473,Answers!$A$4:$I$276,3+$A$1)</f>
        <v xml:space="preserve">Nein </v>
      </c>
    </row>
    <row r="474" spans="1:3" x14ac:dyDescent="0.35">
      <c r="A474" s="195">
        <v>199</v>
      </c>
      <c r="B474" s="196" t="s">
        <v>170</v>
      </c>
      <c r="C474" s="197">
        <f>VLOOKUP(A474,Answers!$A$4:$I$276,3+$A$1)</f>
        <v>0</v>
      </c>
    </row>
    <row r="475" spans="1:3" x14ac:dyDescent="0.35">
      <c r="A475" s="195">
        <v>200</v>
      </c>
      <c r="B475" s="199"/>
      <c r="C475" s="197"/>
    </row>
    <row r="476" spans="1:3" x14ac:dyDescent="0.35">
      <c r="A476" s="195">
        <v>201</v>
      </c>
      <c r="B476" s="196" t="s">
        <v>526</v>
      </c>
      <c r="C476" s="197" t="str">
        <f>VLOOKUP(A476,Answers!$A$4:$I$276,3+$A$1)</f>
        <v>Eine Stelle</v>
      </c>
    </row>
    <row r="477" spans="1:3" x14ac:dyDescent="0.35">
      <c r="A477" s="195">
        <v>202</v>
      </c>
      <c r="B477" s="196" t="s">
        <v>527</v>
      </c>
      <c r="C477" s="197" t="str">
        <f>VLOOKUP(A477,Answers!$A$4:$I$276,3+$A$1)</f>
        <v>Nein</v>
      </c>
    </row>
    <row r="478" spans="1:3" x14ac:dyDescent="0.35">
      <c r="A478" s="195">
        <v>203</v>
      </c>
      <c r="B478" s="196" t="s">
        <v>528</v>
      </c>
      <c r="C478" s="197">
        <f>VLOOKUP(A478,Answers!$A$4:$I$276,3+$A$1)</f>
        <v>0</v>
      </c>
    </row>
    <row r="479" spans="1:3" x14ac:dyDescent="0.35">
      <c r="A479" s="195">
        <v>204</v>
      </c>
      <c r="B479" s="196" t="s">
        <v>170</v>
      </c>
      <c r="C479" s="197" t="str">
        <f>VLOOKUP(A479,Answers!$A$4:$I$276,3+$A$1)</f>
        <v>Ja</v>
      </c>
    </row>
    <row r="480" spans="1:3" x14ac:dyDescent="0.35">
      <c r="A480" s="195">
        <v>205</v>
      </c>
      <c r="B480" s="198"/>
      <c r="C480" s="197"/>
    </row>
    <row r="481" spans="1:3" x14ac:dyDescent="0.35">
      <c r="A481" s="195">
        <v>206</v>
      </c>
      <c r="B481" s="196" t="s">
        <v>529</v>
      </c>
      <c r="C481" s="197" t="str">
        <f>VLOOKUP(A481,Answers!$A$4:$I$276,3+$A$1)</f>
        <v>Kennzeichenerkennung verknüpft mit einem Zahlungsmittel</v>
      </c>
    </row>
    <row r="482" spans="1:3" x14ac:dyDescent="0.35">
      <c r="A482" s="195">
        <v>207</v>
      </c>
      <c r="B482" s="196" t="s">
        <v>530</v>
      </c>
      <c r="C482" s="197">
        <f>VLOOKUP(A482,Answers!$A$4:$I$276,3+$A$1)</f>
        <v>0</v>
      </c>
    </row>
    <row r="483" spans="1:3" x14ac:dyDescent="0.35">
      <c r="A483" s="195">
        <v>208</v>
      </c>
      <c r="B483" s="196" t="s">
        <v>531</v>
      </c>
      <c r="C483" s="197" t="str">
        <f>VLOOKUP(A483,Answers!$A$4:$I$276,3+$A$1)</f>
        <v>Eine Bezahlstation</v>
      </c>
    </row>
    <row r="484" spans="1:3" x14ac:dyDescent="0.35">
      <c r="A484" s="195">
        <v>209</v>
      </c>
      <c r="B484" s="196" t="s">
        <v>170</v>
      </c>
      <c r="C484" s="197" t="str">
        <f>VLOOKUP(A484,Answers!$A$4:$I$276,3+$A$1)</f>
        <v>Mehr als eine</v>
      </c>
    </row>
    <row r="485" spans="1:3" x14ac:dyDescent="0.35">
      <c r="A485" s="195">
        <v>210</v>
      </c>
      <c r="B485" s="196"/>
      <c r="C485" s="197"/>
    </row>
    <row r="486" spans="1:3" x14ac:dyDescent="0.35">
      <c r="A486" s="195">
        <v>211</v>
      </c>
      <c r="B486" s="196" t="s">
        <v>176</v>
      </c>
      <c r="C486" s="197" t="str">
        <f>VLOOKUP(A486,Answers!$A$4:$I$276,3+$A$1)</f>
        <v>Eine an jedem Fußgängerzugang</v>
      </c>
    </row>
    <row r="487" spans="1:3" x14ac:dyDescent="0.35">
      <c r="A487" s="195">
        <v>212</v>
      </c>
      <c r="B487" s="196" t="s">
        <v>532</v>
      </c>
      <c r="C487" s="197">
        <f>VLOOKUP(A487,Answers!$A$4:$I$276,3+$A$1)</f>
        <v>0</v>
      </c>
    </row>
    <row r="488" spans="1:3" x14ac:dyDescent="0.35">
      <c r="A488" s="195">
        <v>213</v>
      </c>
      <c r="B488" s="196" t="s">
        <v>533</v>
      </c>
      <c r="C488" s="197" t="str">
        <f>VLOOKUP(A488,Answers!$A$4:$I$276,3+$A$1)</f>
        <v>Eine</v>
      </c>
    </row>
    <row r="489" spans="1:3" x14ac:dyDescent="0.35">
      <c r="A489" s="195">
        <v>214</v>
      </c>
      <c r="B489" s="196" t="s">
        <v>170</v>
      </c>
      <c r="C489" s="197" t="str">
        <f>VLOOKUP(A489,Answers!$A$4:$I$276,3+$A$1)</f>
        <v>weniger als 1 pro 50 Stellplätze</v>
      </c>
    </row>
    <row r="490" spans="1:3" x14ac:dyDescent="0.35">
      <c r="A490" s="195">
        <v>215</v>
      </c>
      <c r="B490" s="196"/>
      <c r="C490" s="197"/>
    </row>
    <row r="491" spans="1:3" x14ac:dyDescent="0.35">
      <c r="A491" s="195">
        <v>216</v>
      </c>
      <c r="B491" s="196" t="s">
        <v>534</v>
      </c>
      <c r="C491" s="197">
        <f>VLOOKUP(A491,Answers!$A$4:$I$276,3+$A$1)</f>
        <v>0</v>
      </c>
    </row>
    <row r="492" spans="1:3" x14ac:dyDescent="0.35">
      <c r="A492" s="195">
        <v>217</v>
      </c>
      <c r="B492" s="196" t="s">
        <v>177</v>
      </c>
      <c r="C492" s="197" t="str">
        <f>VLOOKUP(A492,Answers!$A$4:$I$276,3+$A$1)</f>
        <v>unisex</v>
      </c>
    </row>
    <row r="493" spans="1:3" x14ac:dyDescent="0.35">
      <c r="A493" s="195">
        <v>218</v>
      </c>
      <c r="B493" s="196" t="s">
        <v>535</v>
      </c>
      <c r="C493" s="197" t="str">
        <f>VLOOKUP(A493,Answers!$A$4:$I$276,3+$A$1)</f>
        <v>Männer/Frauen getrennt</v>
      </c>
    </row>
    <row r="494" spans="1:3" x14ac:dyDescent="0.35">
      <c r="A494" s="195">
        <v>219</v>
      </c>
      <c r="B494" s="196" t="s">
        <v>536</v>
      </c>
      <c r="C494" s="197">
        <f>VLOOKUP(A494,Answers!$A$4:$I$276,3+$A$1)</f>
        <v>0</v>
      </c>
    </row>
    <row r="495" spans="1:3" x14ac:dyDescent="0.35">
      <c r="A495" s="195">
        <v>220</v>
      </c>
      <c r="B495" s="196"/>
      <c r="C495" s="197"/>
    </row>
    <row r="496" spans="1:3" x14ac:dyDescent="0.35">
      <c r="A496" s="195">
        <v>221</v>
      </c>
      <c r="B496" s="196" t="s">
        <v>1744</v>
      </c>
      <c r="C496" s="197" t="str">
        <f>VLOOKUP(A496,Answers!$A$4:$I$276,3+$A$1)</f>
        <v>Nein/Betongrau</v>
      </c>
    </row>
    <row r="497" spans="1:3" x14ac:dyDescent="0.35">
      <c r="A497" s="195">
        <v>222</v>
      </c>
      <c r="B497" s="196" t="s">
        <v>1745</v>
      </c>
      <c r="C497" s="197">
        <f>VLOOKUP(A497,Answers!$A$4:$I$276,3+$A$1)</f>
        <v>0</v>
      </c>
    </row>
    <row r="498" spans="1:3" x14ac:dyDescent="0.35">
      <c r="A498" s="195">
        <v>223</v>
      </c>
      <c r="B498" s="196" t="s">
        <v>1746</v>
      </c>
      <c r="C498" s="197" t="str">
        <f>VLOOKUP(A498,Answers!$A$4:$I$276,3+$A$1)</f>
        <v>Farbige Wände</v>
      </c>
    </row>
    <row r="499" spans="1:3" x14ac:dyDescent="0.35">
      <c r="A499" s="195">
        <v>224</v>
      </c>
      <c r="B499" s="196"/>
      <c r="C499" s="197"/>
    </row>
    <row r="500" spans="1:3" x14ac:dyDescent="0.35">
      <c r="A500" s="195">
        <v>225</v>
      </c>
      <c r="B500" s="196" t="s">
        <v>1748</v>
      </c>
      <c r="C500" s="197">
        <f>VLOOKUP(A500,Answers!$A$4:$I$276,3+$A$1)</f>
        <v>0</v>
      </c>
    </row>
    <row r="501" spans="1:3" x14ac:dyDescent="0.35">
      <c r="A501" s="195">
        <v>226</v>
      </c>
      <c r="B501" s="196" t="s">
        <v>1750</v>
      </c>
      <c r="C501" s="197" t="str">
        <f>VLOOKUP(A501,Answers!$A$4:$I$276,3+$A$1)</f>
        <v>Ja</v>
      </c>
    </row>
    <row r="502" spans="1:3" x14ac:dyDescent="0.35">
      <c r="A502" s="195">
        <v>227</v>
      </c>
      <c r="B502" s="196" t="s">
        <v>1749</v>
      </c>
      <c r="C502" s="197" t="str">
        <f>VLOOKUP(A502,Answers!$A$4:$I$276,3+$A$1)</f>
        <v>Nein</v>
      </c>
    </row>
    <row r="503" spans="1:3" x14ac:dyDescent="0.35">
      <c r="A503" s="195">
        <v>228</v>
      </c>
      <c r="B503" s="196" t="s">
        <v>1751</v>
      </c>
      <c r="C503" s="197" t="str">
        <f>VLOOKUP(A503,Answers!$A$4:$I$276,3+$A$1)</f>
        <v>Irrelevant (Unterirdisch)</v>
      </c>
    </row>
    <row r="504" spans="1:3" x14ac:dyDescent="0.35">
      <c r="A504" s="195">
        <v>229</v>
      </c>
      <c r="B504" s="196"/>
      <c r="C504" s="197"/>
    </row>
    <row r="505" spans="1:3" x14ac:dyDescent="0.35">
      <c r="A505" s="195">
        <v>230</v>
      </c>
      <c r="B505" s="196" t="s">
        <v>1752</v>
      </c>
      <c r="C505" s="197" t="str">
        <f>VLOOKUP(A505,Answers!$A$4:$I$276,3+$A$1)</f>
        <v>Mehr als 10%</v>
      </c>
    </row>
    <row r="506" spans="1:3" x14ac:dyDescent="0.35">
      <c r="A506" s="195">
        <v>231</v>
      </c>
      <c r="B506" s="196" t="s">
        <v>1753</v>
      </c>
      <c r="C506" s="197" t="str">
        <f>VLOOKUP(A506,Answers!$A$4:$I$276,3+$A$1)</f>
        <v>Zwischen 5% und 10%</v>
      </c>
    </row>
    <row r="507" spans="1:3" x14ac:dyDescent="0.35">
      <c r="A507" s="200">
        <v>232</v>
      </c>
      <c r="B507" s="201" t="s">
        <v>1751</v>
      </c>
      <c r="C507" s="202" t="str">
        <f>VLOOKUP(A507,Answers!$A$4:$I$276,3+$A$1)</f>
        <v>Zwischen 2% und 5%</v>
      </c>
    </row>
    <row r="508" spans="1:3" x14ac:dyDescent="0.35">
      <c r="B508" s="57"/>
    </row>
    <row r="509" spans="1:3" ht="21" x14ac:dyDescent="0.35">
      <c r="A509" s="126" t="s">
        <v>2504</v>
      </c>
      <c r="B509" s="213"/>
      <c r="C509" s="127"/>
    </row>
    <row r="510" spans="1:3" ht="15.5" x14ac:dyDescent="0.35">
      <c r="A510" s="182">
        <v>1</v>
      </c>
      <c r="B510" s="183" t="s">
        <v>445</v>
      </c>
      <c r="C510" s="184" t="str">
        <f>VLOOKUP(A510,Tags!$A$4:$I$273,3+$A$1)</f>
        <v>Datum</v>
      </c>
    </row>
    <row r="511" spans="1:3" ht="15.5" x14ac:dyDescent="0.35">
      <c r="A511" s="185">
        <v>2</v>
      </c>
      <c r="B511" s="186" t="s">
        <v>442</v>
      </c>
      <c r="C511" s="187" t="str">
        <f>VLOOKUP(A511,Tags!$A$4:$I$273,3+$A$1)</f>
        <v>Sprache</v>
      </c>
    </row>
    <row r="512" spans="1:3" ht="15.5" x14ac:dyDescent="0.35">
      <c r="A512" s="185">
        <v>3</v>
      </c>
      <c r="B512" s="186" t="s">
        <v>440</v>
      </c>
      <c r="C512" s="187" t="str">
        <f>VLOOKUP(A512,Tags!$A$4:$I$273,3+$A$1)</f>
        <v>Land</v>
      </c>
    </row>
    <row r="513" spans="1:3" ht="15.5" x14ac:dyDescent="0.35">
      <c r="A513" s="185">
        <v>4</v>
      </c>
      <c r="B513" s="186" t="s">
        <v>441</v>
      </c>
      <c r="C513" s="187" t="str">
        <f>VLOOKUP(A513,Tags!$A$4:$I$273,3+$A$1)</f>
        <v>Name der Parkeinrichtung</v>
      </c>
    </row>
    <row r="514" spans="1:3" ht="15.5" x14ac:dyDescent="0.35">
      <c r="A514" s="185">
        <v>5</v>
      </c>
      <c r="B514" s="186" t="s">
        <v>444</v>
      </c>
      <c r="C514" s="187" t="str">
        <f>VLOOKUP(A514,Tags!$A$4:$I$273,3+$A$1)</f>
        <v>Adresse</v>
      </c>
    </row>
    <row r="515" spans="1:3" ht="15.5" x14ac:dyDescent="0.35">
      <c r="A515" s="185">
        <v>6</v>
      </c>
      <c r="B515" s="186" t="s">
        <v>0</v>
      </c>
      <c r="C515" s="187" t="str">
        <f>VLOOKUP(A515,Tags!$A$4:$I$273,3+$A$1)</f>
        <v>Stadt</v>
      </c>
    </row>
    <row r="516" spans="1:3" ht="15.5" x14ac:dyDescent="0.35">
      <c r="A516" s="185">
        <v>7</v>
      </c>
      <c r="B516" s="186" t="s">
        <v>446</v>
      </c>
      <c r="C516" s="187" t="str">
        <f>VLOOKUP(A516,Tags!$A$4:$I$273,3+$A$1)</f>
        <v>Anzahl der Stellplätze</v>
      </c>
    </row>
    <row r="517" spans="1:3" ht="15.5" x14ac:dyDescent="0.35">
      <c r="A517" s="185">
        <v>8</v>
      </c>
      <c r="B517" s="186" t="s">
        <v>447</v>
      </c>
      <c r="C517" s="187" t="str">
        <f>VLOOKUP(A517,Tags!$A$4:$I$273,3+$A$1)</f>
        <v>Betreiber</v>
      </c>
    </row>
    <row r="518" spans="1:3" ht="15.5" x14ac:dyDescent="0.35">
      <c r="A518" s="185">
        <v>9</v>
      </c>
      <c r="B518" s="186" t="s">
        <v>448</v>
      </c>
      <c r="C518" s="187" t="str">
        <f>VLOOKUP(A518,Tags!$A$4:$I$273,3+$A$1)</f>
        <v>Kontaktperson</v>
      </c>
    </row>
    <row r="519" spans="1:3" ht="15.5" x14ac:dyDescent="0.35">
      <c r="A519" s="185">
        <v>10</v>
      </c>
      <c r="B519" s="186" t="s">
        <v>449</v>
      </c>
      <c r="C519" s="187" t="str">
        <f>VLOOKUP(A519,Tags!$A$4:$I$273,3+$A$1)</f>
        <v>E-Mail</v>
      </c>
    </row>
    <row r="520" spans="1:3" ht="15.5" x14ac:dyDescent="0.35">
      <c r="A520" s="185">
        <v>11</v>
      </c>
      <c r="B520" s="186" t="s">
        <v>450</v>
      </c>
      <c r="C520" s="187" t="str">
        <f>VLOOKUP(A520,Tags!$A$4:$I$273,3+$A$1)</f>
        <v>Telefon</v>
      </c>
    </row>
    <row r="521" spans="1:3" ht="15.5" x14ac:dyDescent="0.35">
      <c r="A521" s="185">
        <v>12</v>
      </c>
      <c r="B521" s="186" t="s">
        <v>451</v>
      </c>
      <c r="C521" s="187" t="str">
        <f>VLOOKUP(A521,Tags!$A$4:$I$273,3+$A$1)</f>
        <v>Geprüft von</v>
      </c>
    </row>
    <row r="522" spans="1:3" ht="15.5" x14ac:dyDescent="0.35">
      <c r="A522" s="185">
        <v>13</v>
      </c>
      <c r="B522" s="186" t="s">
        <v>452</v>
      </c>
      <c r="C522" s="187" t="str">
        <f>VLOOKUP(A522,Tags!$A$4:$I$273,3+$A$1)</f>
        <v>Prüfbedingungen</v>
      </c>
    </row>
    <row r="523" spans="1:3" ht="15.5" x14ac:dyDescent="0.35">
      <c r="A523" s="185">
        <v>14</v>
      </c>
      <c r="B523" s="186" t="s">
        <v>453</v>
      </c>
      <c r="C523" s="187" t="str">
        <f>VLOOKUP(A523,Tags!$A$4:$I$273,3+$A$1)</f>
        <v>Tageszeit</v>
      </c>
    </row>
    <row r="524" spans="1:3" ht="15.5" x14ac:dyDescent="0.35">
      <c r="A524" s="185">
        <v>15</v>
      </c>
      <c r="B524" s="186" t="s">
        <v>454</v>
      </c>
      <c r="C524" s="187" t="str">
        <f>VLOOKUP(A524,Tags!$A$4:$I$273,3+$A$1)</f>
        <v>Wetterbedingungen</v>
      </c>
    </row>
    <row r="525" spans="1:3" ht="15.5" x14ac:dyDescent="0.35">
      <c r="A525" s="185">
        <v>16</v>
      </c>
      <c r="B525" s="186" t="s">
        <v>455</v>
      </c>
      <c r="C525" s="187" t="str">
        <f>VLOOKUP(A525,Tags!$A$4:$I$273,3+$A$1)</f>
        <v>Auslastung</v>
      </c>
    </row>
    <row r="526" spans="1:3" ht="15.5" x14ac:dyDescent="0.35">
      <c r="A526" s="185">
        <v>17</v>
      </c>
      <c r="B526" s="186" t="s">
        <v>469</v>
      </c>
      <c r="C526" s="187" t="str">
        <f>VLOOKUP(A526,Tags!$A$4:$I$273,3+$A$1)</f>
        <v>vollständig</v>
      </c>
    </row>
    <row r="527" spans="1:3" ht="15.5" x14ac:dyDescent="0.35">
      <c r="A527" s="185">
        <v>18</v>
      </c>
      <c r="B527" s="186" t="s">
        <v>470</v>
      </c>
      <c r="C527" s="187" t="str">
        <f>VLOOKUP(A527,Tags!$A$4:$I$273,3+$A$1)</f>
        <v>unvollständig</v>
      </c>
    </row>
    <row r="528" spans="1:3" ht="15.5" x14ac:dyDescent="0.35">
      <c r="A528" s="185">
        <v>19</v>
      </c>
      <c r="B528" s="186" t="s">
        <v>1</v>
      </c>
      <c r="C528" s="187" t="str">
        <f>VLOOKUP(A528,Tags!$A$4:$I$273,3+$A$1)</f>
        <v>übereinstimmend</v>
      </c>
    </row>
    <row r="529" spans="1:3" ht="15.5" x14ac:dyDescent="0.35">
      <c r="A529" s="185">
        <v>20</v>
      </c>
      <c r="B529" s="186" t="s">
        <v>471</v>
      </c>
      <c r="C529" s="187" t="str">
        <f>VLOOKUP(A529,Tags!$A$4:$I$273,3+$A$1)</f>
        <v>Kommentare</v>
      </c>
    </row>
    <row r="530" spans="1:3" ht="15.5" x14ac:dyDescent="0.35">
      <c r="A530" s="185">
        <v>21</v>
      </c>
      <c r="B530" s="186" t="s">
        <v>472</v>
      </c>
      <c r="C530" s="187" t="str">
        <f>VLOOKUP(A530,Tags!$A$4:$I$273,3+$A$1)</f>
        <v>Anzahl von Übereinstimmungen</v>
      </c>
    </row>
    <row r="531" spans="1:3" ht="15.5" x14ac:dyDescent="0.35">
      <c r="A531" s="185">
        <v>22</v>
      </c>
      <c r="B531" s="186" t="s">
        <v>120</v>
      </c>
      <c r="C531" s="187" t="str">
        <f>VLOOKUP(A531,Tags!$A$4:$I$273,3+$A$1)</f>
        <v>Anzahl von Mängeln</v>
      </c>
    </row>
    <row r="532" spans="1:3" ht="15.5" x14ac:dyDescent="0.35">
      <c r="A532" s="185">
        <v>23</v>
      </c>
      <c r="B532" s="186" t="s">
        <v>121</v>
      </c>
      <c r="C532" s="187" t="str">
        <f>VLOOKUP(A532,Tags!$A$4:$I$273,3+$A$1)</f>
        <v>nicht überprüft</v>
      </c>
    </row>
    <row r="533" spans="1:3" ht="15.5" x14ac:dyDescent="0.35">
      <c r="A533" s="185">
        <v>24</v>
      </c>
      <c r="B533" s="186" t="s">
        <v>473</v>
      </c>
      <c r="C533" s="187" t="str">
        <f>VLOOKUP(A533,Tags!$A$4:$I$273,3+$A$1)</f>
        <v>bestanden</v>
      </c>
    </row>
    <row r="534" spans="1:3" ht="15.5" x14ac:dyDescent="0.35">
      <c r="A534" s="185">
        <v>25</v>
      </c>
      <c r="B534" s="186" t="s">
        <v>116</v>
      </c>
      <c r="C534" s="187" t="str">
        <f>VLOOKUP(A534,Tags!$A$4:$I$273,3+$A$1)</f>
        <v>nicht bestanden</v>
      </c>
    </row>
    <row r="535" spans="1:3" ht="15.5" x14ac:dyDescent="0.35">
      <c r="A535" s="185">
        <v>26</v>
      </c>
      <c r="B535" s="186" t="s">
        <v>521</v>
      </c>
      <c r="C535" s="187" t="str">
        <f>VLOOKUP(A535,Tags!$A$4:$I$273,3+$A$1)</f>
        <v>unvollständig</v>
      </c>
    </row>
    <row r="536" spans="1:3" ht="15.5" x14ac:dyDescent="0.35">
      <c r="A536" s="185">
        <v>27</v>
      </c>
      <c r="B536" s="186" t="s">
        <v>127</v>
      </c>
      <c r="C536" s="187" t="str">
        <f>VLOOKUP(A536,Tags!$A$4:$I$273,3+$A$1)</f>
        <v>Summe der Positionen</v>
      </c>
    </row>
    <row r="537" spans="1:3" ht="15.5" x14ac:dyDescent="0.35">
      <c r="A537" s="185">
        <v>28</v>
      </c>
      <c r="B537" s="186" t="s">
        <v>277</v>
      </c>
      <c r="C537" s="187" t="str">
        <f>VLOOKUP(A537,Tags!$A$4:$I$273,3+$A$1)</f>
        <v>Summe der Positionen und Unterpositionen</v>
      </c>
    </row>
    <row r="538" spans="1:3" ht="15.5" x14ac:dyDescent="0.35">
      <c r="A538" s="185">
        <v>29</v>
      </c>
      <c r="B538" s="186" t="s">
        <v>125</v>
      </c>
      <c r="C538" s="187" t="str">
        <f>VLOOKUP(A538,Tags!$A$4:$I$273,3+$A$1)</f>
        <v>vollständige Positionen</v>
      </c>
    </row>
    <row r="539" spans="1:3" ht="15.5" x14ac:dyDescent="0.35">
      <c r="A539" s="185">
        <v>30</v>
      </c>
      <c r="B539" s="186" t="s">
        <v>126</v>
      </c>
      <c r="C539" s="187" t="str">
        <f>VLOOKUP(A539,Tags!$A$4:$I$273,3+$A$1)</f>
        <v>nicht gemessen</v>
      </c>
    </row>
    <row r="540" spans="1:3" ht="15.5" x14ac:dyDescent="0.35">
      <c r="A540" s="185">
        <v>31</v>
      </c>
      <c r="B540" s="186" t="s">
        <v>3</v>
      </c>
      <c r="C540" s="187" t="str">
        <f>VLOOKUP(A540,Tags!$A$4:$I$273,3+$A$1)</f>
        <v>Punktzahl</v>
      </c>
    </row>
    <row r="541" spans="1:3" ht="15.5" x14ac:dyDescent="0.35">
      <c r="A541" s="185">
        <v>32</v>
      </c>
      <c r="B541" s="186" t="s">
        <v>270</v>
      </c>
      <c r="C541" s="187" t="str">
        <f>VLOOKUP(A541,Tags!$A$4:$I$273,3+$A$1)</f>
        <v>Maximale Punktzahl</v>
      </c>
    </row>
    <row r="542" spans="1:3" ht="15.5" x14ac:dyDescent="0.35">
      <c r="A542" s="185">
        <v>33</v>
      </c>
      <c r="B542" s="186" t="s">
        <v>481</v>
      </c>
      <c r="C542" s="187" t="str">
        <f>VLOOKUP(A542,Tags!$A$4:$I$273,3+$A$1)</f>
        <v>Prozentsatz</v>
      </c>
    </row>
    <row r="543" spans="1:3" ht="15.5" x14ac:dyDescent="0.35">
      <c r="A543" s="185">
        <v>34</v>
      </c>
      <c r="B543" s="186" t="s">
        <v>479</v>
      </c>
      <c r="C543" s="187" t="str">
        <f>VLOOKUP(A543,Tags!$A$4:$I$273,3+$A$1)</f>
        <v>Wert der Kategorie</v>
      </c>
    </row>
    <row r="544" spans="1:3" ht="15.5" x14ac:dyDescent="0.35">
      <c r="A544" s="185">
        <v>35</v>
      </c>
      <c r="B544" s="186" t="s">
        <v>123</v>
      </c>
      <c r="C544" s="187" t="str">
        <f>VLOOKUP(A544,Tags!$A$4:$I$273,3+$A$1)</f>
        <v>Gesamtbewertung</v>
      </c>
    </row>
    <row r="545" spans="1:3" ht="15.5" x14ac:dyDescent="0.35">
      <c r="A545" s="185">
        <v>36</v>
      </c>
      <c r="B545" s="186" t="s">
        <v>124</v>
      </c>
      <c r="C545" s="187" t="str">
        <f>VLOOKUP(A545,Tags!$A$4:$I$273,3+$A$1)</f>
        <v>Kategorie</v>
      </c>
    </row>
    <row r="546" spans="1:3" ht="15.5" x14ac:dyDescent="0.35">
      <c r="A546" s="185">
        <v>37</v>
      </c>
      <c r="B546" s="186" t="s">
        <v>430</v>
      </c>
      <c r="C546" s="187" t="str">
        <f>VLOOKUP(A546,Tags!$A$4:$I$273,3+$A$1)</f>
        <v>Anzahl der Positionen</v>
      </c>
    </row>
    <row r="547" spans="1:3" ht="15.5" x14ac:dyDescent="0.35">
      <c r="A547" s="185">
        <v>38</v>
      </c>
      <c r="B547" s="186" t="s">
        <v>431</v>
      </c>
      <c r="C547" s="187" t="str">
        <f>VLOOKUP(A547,Tags!$A$4:$I$273,3+$A$1)</f>
        <v>Anzahl der Übereinstimmungen</v>
      </c>
    </row>
    <row r="548" spans="1:3" ht="15.5" x14ac:dyDescent="0.35">
      <c r="A548" s="185">
        <v>39</v>
      </c>
      <c r="B548" s="186" t="s">
        <v>432</v>
      </c>
      <c r="C548" s="187" t="str">
        <f>VLOOKUP(A548,Tags!$A$4:$I$273,3+$A$1)</f>
        <v>Anzahl der Mängel</v>
      </c>
    </row>
    <row r="549" spans="1:3" ht="15.5" x14ac:dyDescent="0.35">
      <c r="A549" s="185">
        <v>40</v>
      </c>
      <c r="B549" s="186" t="s">
        <v>434</v>
      </c>
      <c r="C549" s="187" t="str">
        <f>VLOOKUP(A549,Tags!$A$4:$I$273,3+$A$1)</f>
        <v>zu vervollständigen</v>
      </c>
    </row>
    <row r="550" spans="1:3" ht="15.5" x14ac:dyDescent="0.35">
      <c r="A550" s="185">
        <v>41</v>
      </c>
      <c r="B550" s="186" t="s">
        <v>476</v>
      </c>
      <c r="C550" s="187" t="str">
        <f>VLOOKUP(A550,Tags!$A$4:$I$273,3+$A$1)</f>
        <v>% erreicht</v>
      </c>
    </row>
    <row r="551" spans="1:3" ht="15.5" x14ac:dyDescent="0.35">
      <c r="A551" s="185">
        <v>42</v>
      </c>
      <c r="B551" s="186" t="s">
        <v>519</v>
      </c>
      <c r="C551" s="187" t="str">
        <f>VLOOKUP(A551,Tags!$A$4:$I$273,3+$A$1)</f>
        <v>Minimum</v>
      </c>
    </row>
    <row r="552" spans="1:3" ht="15.5" x14ac:dyDescent="0.35">
      <c r="A552" s="185">
        <v>43</v>
      </c>
      <c r="B552" s="186" t="s">
        <v>477</v>
      </c>
      <c r="C552" s="187" t="str">
        <f>VLOOKUP(A552,Tags!$A$4:$I$273,3+$A$1)</f>
        <v>Punktzahl der Kategorie</v>
      </c>
    </row>
    <row r="553" spans="1:3" ht="15.5" x14ac:dyDescent="0.35">
      <c r="A553" s="185">
        <v>44</v>
      </c>
      <c r="B553" s="186" t="s">
        <v>478</v>
      </c>
      <c r="C553" s="187" t="str">
        <f>VLOOKUP(A553,Tags!$A$4:$I$273,3+$A$1)</f>
        <v>erreichte Punktzahl</v>
      </c>
    </row>
    <row r="554" spans="1:3" ht="15.5" x14ac:dyDescent="0.35">
      <c r="A554" s="185">
        <v>45</v>
      </c>
      <c r="B554" s="186" t="s">
        <v>433</v>
      </c>
      <c r="C554" s="187" t="str">
        <f>VLOOKUP(A554,Tags!$A$4:$I$273,3+$A$1)</f>
        <v>Status</v>
      </c>
    </row>
    <row r="555" spans="1:3" ht="15.5" x14ac:dyDescent="0.35">
      <c r="A555" s="185">
        <v>46</v>
      </c>
      <c r="B555" s="186" t="s">
        <v>435</v>
      </c>
      <c r="C555" s="187" t="str">
        <f>VLOOKUP(A555,Tags!$A$4:$I$273,3+$A$1)</f>
        <v>% Vollständigkeit</v>
      </c>
    </row>
    <row r="556" spans="1:3" ht="15.5" x14ac:dyDescent="0.35">
      <c r="A556" s="185">
        <v>47</v>
      </c>
      <c r="B556" s="186" t="s">
        <v>522</v>
      </c>
      <c r="C556" s="187" t="str">
        <f>VLOOKUP(A556,Tags!$A$4:$I$273,3+$A$1)</f>
        <v>Zwischensummen</v>
      </c>
    </row>
    <row r="557" spans="1:3" ht="15.5" x14ac:dyDescent="0.35">
      <c r="A557" s="185">
        <v>48</v>
      </c>
      <c r="B557" s="186" t="s">
        <v>436</v>
      </c>
      <c r="C557" s="187" t="str">
        <f>VLOOKUP(A557,Tags!$A$4:$I$273,3+$A$1)</f>
        <v>Summen</v>
      </c>
    </row>
    <row r="558" spans="1:3" ht="15.5" x14ac:dyDescent="0.35">
      <c r="A558" s="185">
        <v>49</v>
      </c>
      <c r="B558" s="186" t="s">
        <v>523</v>
      </c>
      <c r="C558" s="187" t="str">
        <f>VLOOKUP(A558,Tags!$A$4:$I$273,3+$A$1)</f>
        <v>Mindestanforderung für ESPA Award</v>
      </c>
    </row>
    <row r="559" spans="1:3" ht="15.5" x14ac:dyDescent="0.35">
      <c r="A559" s="185">
        <v>50</v>
      </c>
      <c r="B559" s="186" t="s">
        <v>520</v>
      </c>
      <c r="C559" s="187" t="str">
        <f>VLOOKUP(A559,Tags!$A$4:$I$273,3+$A$1)</f>
        <v>Mindestpunktzahl dieser Kategorie</v>
      </c>
    </row>
    <row r="560" spans="1:3" ht="15.5" x14ac:dyDescent="0.35">
      <c r="A560" s="185">
        <v>51</v>
      </c>
      <c r="B560" s="186" t="s">
        <v>524</v>
      </c>
      <c r="C560" s="187" t="str">
        <f>VLOOKUP(A560,Tags!$A$4:$I$273,3+$A$1)</f>
        <v>ESPA Award</v>
      </c>
    </row>
    <row r="561" spans="1:3" ht="15.5" x14ac:dyDescent="0.35">
      <c r="A561" s="185">
        <v>52</v>
      </c>
      <c r="B561" s="186" t="s">
        <v>276</v>
      </c>
      <c r="C561" s="187" t="str">
        <f>VLOOKUP(A561,Tags!$A$4:$I$273,3+$A$1)</f>
        <v>Positionsliste</v>
      </c>
    </row>
    <row r="562" spans="1:3" ht="15.5" x14ac:dyDescent="0.35">
      <c r="A562" s="185">
        <v>53</v>
      </c>
      <c r="B562" s="186" t="s">
        <v>92</v>
      </c>
      <c r="C562" s="187" t="str">
        <f>VLOOKUP(A562,Tags!$A$4:$I$273,3+$A$1)</f>
        <v>Messwerte</v>
      </c>
    </row>
    <row r="563" spans="1:3" ht="15.5" x14ac:dyDescent="0.35">
      <c r="A563" s="185">
        <v>54</v>
      </c>
      <c r="B563" s="186" t="s">
        <v>480</v>
      </c>
      <c r="C563" s="187" t="str">
        <f>VLOOKUP(A563,Tags!$A$4:$I$273,3+$A$1)</f>
        <v>maximaler Beitrag zum Endergebnis</v>
      </c>
    </row>
    <row r="564" spans="1:3" ht="15.5" x14ac:dyDescent="0.35">
      <c r="A564" s="185">
        <v>55</v>
      </c>
      <c r="B564" s="186" t="s">
        <v>475</v>
      </c>
      <c r="C564" s="187" t="str">
        <f>VLOOKUP(A564,Tags!$A$4:$I$273,3+$A$1)</f>
        <v>Beitrag zum Endergebnis</v>
      </c>
    </row>
    <row r="565" spans="1:3" ht="15.5" x14ac:dyDescent="0.35">
      <c r="A565" s="185">
        <v>56</v>
      </c>
      <c r="B565" s="186" t="s">
        <v>4</v>
      </c>
      <c r="C565" s="187" t="str">
        <f>VLOOKUP(A565,Tags!$A$4:$I$273,3+$A$1)</f>
        <v>Anmerkungen</v>
      </c>
    </row>
    <row r="566" spans="1:3" ht="15.5" x14ac:dyDescent="0.35">
      <c r="A566" s="185">
        <v>57</v>
      </c>
      <c r="B566" s="186" t="s">
        <v>1314</v>
      </c>
      <c r="C566" s="187" t="str">
        <f>VLOOKUP(A566,Tags!$A$4:$I$273,3+$A$1)</f>
        <v>Anmerkungen</v>
      </c>
    </row>
    <row r="567" spans="1:3" ht="15.5" x14ac:dyDescent="0.35">
      <c r="A567" s="185">
        <v>58</v>
      </c>
      <c r="B567" s="186" t="s">
        <v>1323</v>
      </c>
      <c r="C567" s="187" t="str">
        <f>VLOOKUP(A567,Tags!$A$4:$I$273,3+$A$1)</f>
        <v>Dies wird alle Daten in dem ESPA Arbeitsblatt löschen. Sind Sie sicher?</v>
      </c>
    </row>
    <row r="568" spans="1:3" ht="31" x14ac:dyDescent="0.35">
      <c r="A568" s="185">
        <v>59</v>
      </c>
      <c r="B568" s="186" t="s">
        <v>1321</v>
      </c>
      <c r="C568" s="187" t="str">
        <f>VLOOKUP(A568,Tags!$A$4:$I$273,3+$A$1)</f>
        <v>Sie haben ein unzulässiges Passwort eingegeben. Die ESPA Arbeitsblätter können nicht ungeschützt bleiben.</v>
      </c>
    </row>
    <row r="569" spans="1:3" ht="31" x14ac:dyDescent="0.35">
      <c r="A569" s="185">
        <v>60</v>
      </c>
      <c r="B569" s="186" t="s">
        <v>1319</v>
      </c>
      <c r="C569" s="187" t="str">
        <f>VLOOKUP(A569,Tags!$A$4:$I$273,3+$A$1)</f>
        <v>Bitte geben Sie Ihr Passwort ein, um das ESPA Arbeitsblatt zu öffnen.</v>
      </c>
    </row>
    <row r="570" spans="1:3" ht="15.5" x14ac:dyDescent="0.35">
      <c r="A570" s="185">
        <v>61</v>
      </c>
      <c r="B570" s="186" t="s">
        <v>1320</v>
      </c>
      <c r="C570" s="187" t="str">
        <f>VLOOKUP(A570,Tags!$A$4:$I$273,3+$A$1)</f>
        <v>Eingabe Passwort</v>
      </c>
    </row>
    <row r="571" spans="1:3" ht="15.5" x14ac:dyDescent="0.35">
      <c r="A571" s="185">
        <v>62</v>
      </c>
      <c r="B571" s="186" t="s">
        <v>1322</v>
      </c>
      <c r="C571" s="187" t="str">
        <f>VLOOKUP(A571,Tags!$A$4:$I$273,3+$A$1)</f>
        <v>Unzulässiges Passwort</v>
      </c>
    </row>
    <row r="572" spans="1:3" ht="31" x14ac:dyDescent="0.35">
      <c r="A572" s="185">
        <v>63</v>
      </c>
      <c r="B572" s="186" t="s">
        <v>2483</v>
      </c>
      <c r="C572" s="187" t="str">
        <f>VLOOKUP(A572,Tags!$A$4:$I$273,3+$A$1)</f>
        <v>Hierdurch werden 15 Seiten auf Ihrem aktiven Drucker ausgedruckt. Sind Sie sicher?</v>
      </c>
    </row>
    <row r="573" spans="1:3" ht="15.5" x14ac:dyDescent="0.35">
      <c r="A573" s="185">
        <v>64</v>
      </c>
      <c r="B573" s="186" t="s">
        <v>1325</v>
      </c>
      <c r="C573" s="187" t="str">
        <f>VLOOKUP(A573,Tags!$A$4:$I$273,3+$A$1)</f>
        <v>Alarm</v>
      </c>
    </row>
    <row r="574" spans="1:3" ht="31" x14ac:dyDescent="0.35">
      <c r="A574" s="185">
        <v>65</v>
      </c>
      <c r="B574" s="186" t="s">
        <v>1756</v>
      </c>
      <c r="C574" s="187" t="str">
        <f>VLOOKUP(A574,Tags!$A$4:$I$273,3+$A$1)</f>
        <v>Das Ändern der Sprache wird alle Ihre bisherigen Eingaben zurücksetzen. Sind Sie sicher?</v>
      </c>
    </row>
    <row r="575" spans="1:3" ht="15.5" x14ac:dyDescent="0.35">
      <c r="A575" s="185">
        <v>66</v>
      </c>
      <c r="B575" s="186" t="s">
        <v>1828</v>
      </c>
      <c r="C575" s="187" t="str">
        <f>VLOOKUP(A575,Tags!$A$4:$I$273,3+$A$1)</f>
        <v>Mindestbedingungen für den Gold Award</v>
      </c>
    </row>
    <row r="576" spans="1:3" ht="15.5" x14ac:dyDescent="0.35">
      <c r="A576" s="185">
        <v>67</v>
      </c>
      <c r="B576" s="186" t="s">
        <v>1787</v>
      </c>
      <c r="C576" s="187" t="str">
        <f>VLOOKUP(A576,Tags!$A$4:$I$273,3+$A$1)</f>
        <v>ESPA Gold Award</v>
      </c>
    </row>
    <row r="577" spans="1:3" ht="15.5" x14ac:dyDescent="0.35">
      <c r="A577" s="185">
        <v>68</v>
      </c>
      <c r="B577" s="186" t="s">
        <v>1788</v>
      </c>
      <c r="C577" s="187" t="str">
        <f>VLOOKUP(A577,Tags!$A$4:$I$273,3+$A$1)</f>
        <v>Globale Bewertung - Gold Award</v>
      </c>
    </row>
    <row r="578" spans="1:3" ht="31" x14ac:dyDescent="0.35">
      <c r="A578" s="185">
        <v>69</v>
      </c>
      <c r="B578" s="186" t="s">
        <v>1789</v>
      </c>
      <c r="C578" s="187" t="str">
        <f>VLOOKUP(A578,Tags!$A$4:$I$273,3+$A$1)</f>
        <v>Das ESPA Arbeitsblatt verwendet Macros. Bitte das Arbeitsblatt schließen, Macros zulassen und neu anschließend erneut öffnen.</v>
      </c>
    </row>
    <row r="579" spans="1:3" x14ac:dyDescent="0.35">
      <c r="A579" s="188">
        <v>70</v>
      </c>
      <c r="B579" s="187" t="s">
        <v>1757</v>
      </c>
      <c r="C579" s="187" t="str">
        <f>VLOOKUP(A579,Tags!$A$4:$I$273,3+$A$1)</f>
        <v>Baujahr</v>
      </c>
    </row>
    <row r="580" spans="1:3" x14ac:dyDescent="0.35">
      <c r="A580" s="188">
        <v>71</v>
      </c>
      <c r="B580" s="187" t="s">
        <v>2492</v>
      </c>
      <c r="C580" s="187" t="str">
        <f>VLOOKUP(A580,Tags!$A$4:$I$273,3+$A$1)</f>
        <v>Bauart</v>
      </c>
    </row>
    <row r="581" spans="1:3" x14ac:dyDescent="0.35">
      <c r="A581" s="188">
        <v>72</v>
      </c>
      <c r="B581" s="187" t="s">
        <v>1747</v>
      </c>
      <c r="C581" s="187" t="str">
        <f>VLOOKUP(A581,Tags!$A$4:$I$273,3+$A$1)</f>
        <v>Typ</v>
      </c>
    </row>
    <row r="582" spans="1:3" x14ac:dyDescent="0.35">
      <c r="A582" s="188">
        <v>73</v>
      </c>
      <c r="B582" s="187" t="s">
        <v>2496</v>
      </c>
      <c r="C582" s="187" t="str">
        <f>VLOOKUP(A582,Tags!$A$4:$I$273,3+$A$1)</f>
        <v>Zutrittskontrolle</v>
      </c>
    </row>
    <row r="583" spans="1:3" x14ac:dyDescent="0.35">
      <c r="A583" s="188">
        <v>74</v>
      </c>
      <c r="B583" s="187" t="s">
        <v>1755</v>
      </c>
      <c r="C583" s="187" t="str">
        <f>VLOOKUP(A583,Tags!$A$4:$I$273,3+$A$1)</f>
        <v>Anzahl Fahrstühle</v>
      </c>
    </row>
    <row r="584" spans="1:3" x14ac:dyDescent="0.35">
      <c r="A584" s="188">
        <v>75</v>
      </c>
      <c r="B584" s="187" t="s">
        <v>1743</v>
      </c>
      <c r="C584" s="187" t="str">
        <f>VLOOKUP(A584,Tags!$A$4:$I$273,3+$A$1)</f>
        <v>Anzahl Ebenen</v>
      </c>
    </row>
    <row r="585" spans="1:3" x14ac:dyDescent="0.35">
      <c r="A585" s="189">
        <v>76</v>
      </c>
      <c r="B585" s="190" t="s">
        <v>1742</v>
      </c>
      <c r="C585" s="190" t="str">
        <f>VLOOKUP(A585,Tags!$A$4:$I$273,3+$A$1)</f>
        <v>Stammdaten Einrichtung</v>
      </c>
    </row>
  </sheetData>
  <sheetProtection formatRows="0" selectLockedCells="1"/>
  <conditionalFormatting sqref="C4:C273">
    <cfRule type="expression" dxfId="5" priority="3">
      <formula>AND(B4&lt;&gt;"",OR(C4="",C4=0))</formula>
    </cfRule>
  </conditionalFormatting>
  <conditionalFormatting sqref="C276:C507">
    <cfRule type="expression" dxfId="4" priority="2">
      <formula>AND(B276&lt;&gt;"",OR(C276="",C276=0))</formula>
    </cfRule>
  </conditionalFormatting>
  <conditionalFormatting sqref="C510:C585">
    <cfRule type="expression" dxfId="3" priority="1">
      <formula>AND(B510&lt;&gt;"",OR(C510="",C510=0))</formula>
    </cfRule>
  </conditionalFormatting>
  <pageMargins left="0.75" right="0.75" top="1" bottom="1" header="0.5" footer="0.5"/>
  <pageSetup paperSize="9" orientation="portrait" horizontalDpi="4294967292" verticalDpi="429496729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C585"/>
  <sheetViews>
    <sheetView workbookViewId="0">
      <selection activeCell="F4" sqref="F4:I6"/>
    </sheetView>
  </sheetViews>
  <sheetFormatPr baseColWidth="10" defaultColWidth="10.81640625" defaultRowHeight="14.5" x14ac:dyDescent="0.35"/>
  <cols>
    <col min="1" max="1" width="4.81640625" style="4" customWidth="1"/>
    <col min="2" max="2" width="51.81640625" style="4" customWidth="1"/>
    <col min="3" max="3" width="63" style="4" customWidth="1"/>
    <col min="4" max="16384" width="10.81640625" style="4"/>
  </cols>
  <sheetData>
    <row r="1" spans="1:3" ht="26.5" thickBot="1" x14ac:dyDescent="0.4">
      <c r="A1" s="181">
        <v>4</v>
      </c>
      <c r="B1" s="203" t="s">
        <v>2500</v>
      </c>
      <c r="C1" s="204" t="s">
        <v>1326</v>
      </c>
    </row>
    <row r="3" spans="1:3" ht="21" x14ac:dyDescent="0.35">
      <c r="A3" s="126" t="s">
        <v>2502</v>
      </c>
      <c r="B3" s="213"/>
      <c r="C3" s="127"/>
    </row>
    <row r="4" spans="1:3" x14ac:dyDescent="0.35">
      <c r="A4" s="191">
        <v>1</v>
      </c>
      <c r="B4" s="115" t="s">
        <v>114</v>
      </c>
      <c r="C4" s="115" t="s">
        <v>1426</v>
      </c>
    </row>
    <row r="5" spans="1:3" x14ac:dyDescent="0.35">
      <c r="A5" s="130">
        <v>2</v>
      </c>
      <c r="B5" s="116" t="s">
        <v>2</v>
      </c>
      <c r="C5" s="116" t="s">
        <v>1427</v>
      </c>
    </row>
    <row r="6" spans="1:3" ht="29" x14ac:dyDescent="0.35">
      <c r="A6" s="130">
        <v>3</v>
      </c>
      <c r="B6" s="116" t="s">
        <v>84</v>
      </c>
      <c r="C6" s="116" t="s">
        <v>1428</v>
      </c>
    </row>
    <row r="7" spans="1:3" ht="29" x14ac:dyDescent="0.35">
      <c r="A7" s="130">
        <v>4</v>
      </c>
      <c r="B7" s="116" t="s">
        <v>1758</v>
      </c>
      <c r="C7" s="116" t="s">
        <v>1761</v>
      </c>
    </row>
    <row r="8" spans="1:3" ht="43.5" x14ac:dyDescent="0.35">
      <c r="A8" s="130">
        <v>5</v>
      </c>
      <c r="B8" s="116" t="s">
        <v>118</v>
      </c>
      <c r="C8" s="116" t="s">
        <v>1429</v>
      </c>
    </row>
    <row r="9" spans="1:3" ht="58" x14ac:dyDescent="0.35">
      <c r="A9" s="130">
        <v>6</v>
      </c>
      <c r="B9" s="116" t="s">
        <v>1771</v>
      </c>
      <c r="C9" s="116" t="s">
        <v>1791</v>
      </c>
    </row>
    <row r="10" spans="1:3" x14ac:dyDescent="0.35">
      <c r="A10" s="130">
        <v>7</v>
      </c>
      <c r="B10" s="116" t="s">
        <v>1763</v>
      </c>
      <c r="C10" s="116" t="s">
        <v>1766</v>
      </c>
    </row>
    <row r="11" spans="1:3" ht="87" x14ac:dyDescent="0.35">
      <c r="A11" s="130">
        <v>8</v>
      </c>
      <c r="B11" s="116" t="s">
        <v>86</v>
      </c>
      <c r="C11" s="116" t="s">
        <v>1614</v>
      </c>
    </row>
    <row r="12" spans="1:3" ht="72.5" x14ac:dyDescent="0.35">
      <c r="A12" s="130">
        <v>9</v>
      </c>
      <c r="B12" s="116" t="s">
        <v>87</v>
      </c>
      <c r="C12" s="116" t="s">
        <v>1615</v>
      </c>
    </row>
    <row r="13" spans="1:3" ht="43.5" x14ac:dyDescent="0.35">
      <c r="A13" s="130">
        <v>10</v>
      </c>
      <c r="B13" s="116" t="s">
        <v>117</v>
      </c>
      <c r="C13" s="116" t="s">
        <v>1430</v>
      </c>
    </row>
    <row r="14" spans="1:3" ht="43.5" x14ac:dyDescent="0.35">
      <c r="A14" s="130">
        <v>11</v>
      </c>
      <c r="B14" s="116" t="s">
        <v>85</v>
      </c>
      <c r="C14" s="116" t="s">
        <v>1431</v>
      </c>
    </row>
    <row r="15" spans="1:3" x14ac:dyDescent="0.35">
      <c r="A15" s="130">
        <v>12</v>
      </c>
      <c r="B15" s="116" t="s">
        <v>88</v>
      </c>
      <c r="C15" s="116" t="s">
        <v>1432</v>
      </c>
    </row>
    <row r="16" spans="1:3" ht="43.5" x14ac:dyDescent="0.35">
      <c r="A16" s="130">
        <v>13</v>
      </c>
      <c r="B16" s="116" t="s">
        <v>119</v>
      </c>
      <c r="C16" s="116" t="s">
        <v>1433</v>
      </c>
    </row>
    <row r="17" spans="1:3" ht="29" x14ac:dyDescent="0.35">
      <c r="A17" s="130">
        <v>14</v>
      </c>
      <c r="B17" s="116" t="s">
        <v>1768</v>
      </c>
      <c r="C17" s="116" t="s">
        <v>1792</v>
      </c>
    </row>
    <row r="18" spans="1:3" ht="29" x14ac:dyDescent="0.35">
      <c r="A18" s="130">
        <v>15</v>
      </c>
      <c r="B18" s="116" t="s">
        <v>1769</v>
      </c>
      <c r="C18" s="116" t="s">
        <v>1793</v>
      </c>
    </row>
    <row r="19" spans="1:3" x14ac:dyDescent="0.35">
      <c r="A19" s="130">
        <v>16</v>
      </c>
      <c r="B19" s="116" t="s">
        <v>678</v>
      </c>
      <c r="C19" s="116" t="s">
        <v>1434</v>
      </c>
    </row>
    <row r="20" spans="1:3" ht="29" x14ac:dyDescent="0.35">
      <c r="A20" s="130">
        <v>17</v>
      </c>
      <c r="B20" s="116" t="s">
        <v>474</v>
      </c>
      <c r="C20" s="116" t="s">
        <v>1435</v>
      </c>
    </row>
    <row r="21" spans="1:3" ht="58" x14ac:dyDescent="0.35">
      <c r="A21" s="130">
        <v>18</v>
      </c>
      <c r="B21" s="116" t="s">
        <v>271</v>
      </c>
      <c r="C21" s="116" t="s">
        <v>1616</v>
      </c>
    </row>
    <row r="22" spans="1:3" ht="58" x14ac:dyDescent="0.35">
      <c r="A22" s="130">
        <v>19</v>
      </c>
      <c r="B22" s="116" t="s">
        <v>272</v>
      </c>
      <c r="C22" s="116" t="s">
        <v>1617</v>
      </c>
    </row>
    <row r="23" spans="1:3" ht="58" x14ac:dyDescent="0.35">
      <c r="A23" s="130">
        <v>20</v>
      </c>
      <c r="B23" s="116" t="s">
        <v>273</v>
      </c>
      <c r="C23" s="116" t="s">
        <v>1618</v>
      </c>
    </row>
    <row r="24" spans="1:3" ht="87" x14ac:dyDescent="0.35">
      <c r="A24" s="130">
        <v>21</v>
      </c>
      <c r="B24" s="116" t="s">
        <v>1773</v>
      </c>
      <c r="C24" s="116" t="s">
        <v>1794</v>
      </c>
    </row>
    <row r="25" spans="1:3" ht="72.5" x14ac:dyDescent="0.35">
      <c r="A25" s="130">
        <v>22</v>
      </c>
      <c r="B25" s="116" t="s">
        <v>1774</v>
      </c>
      <c r="C25" s="116" t="s">
        <v>1795</v>
      </c>
    </row>
    <row r="26" spans="1:3" ht="87" x14ac:dyDescent="0.35">
      <c r="A26" s="130">
        <v>23</v>
      </c>
      <c r="B26" s="116" t="s">
        <v>1790</v>
      </c>
      <c r="C26" s="116" t="s">
        <v>1796</v>
      </c>
    </row>
    <row r="27" spans="1:3" ht="72.5" x14ac:dyDescent="0.35">
      <c r="A27" s="130">
        <v>24</v>
      </c>
      <c r="B27" s="116" t="s">
        <v>275</v>
      </c>
      <c r="C27" s="116" t="s">
        <v>1619</v>
      </c>
    </row>
    <row r="28" spans="1:3" ht="87" x14ac:dyDescent="0.35">
      <c r="A28" s="130">
        <v>25</v>
      </c>
      <c r="B28" s="116" t="s">
        <v>540</v>
      </c>
      <c r="C28" s="116" t="s">
        <v>1620</v>
      </c>
    </row>
    <row r="29" spans="1:3" ht="58" x14ac:dyDescent="0.35">
      <c r="A29" s="130">
        <v>26</v>
      </c>
      <c r="B29" s="116" t="s">
        <v>679</v>
      </c>
      <c r="C29" s="116" t="s">
        <v>1621</v>
      </c>
    </row>
    <row r="30" spans="1:3" x14ac:dyDescent="0.35">
      <c r="A30" s="130">
        <v>27</v>
      </c>
      <c r="B30" s="116" t="s">
        <v>122</v>
      </c>
      <c r="C30" s="116" t="s">
        <v>1436</v>
      </c>
    </row>
    <row r="31" spans="1:3" x14ac:dyDescent="0.35">
      <c r="A31" s="130">
        <v>28</v>
      </c>
      <c r="B31" s="116" t="s">
        <v>113</v>
      </c>
      <c r="C31" s="116" t="s">
        <v>1437</v>
      </c>
    </row>
    <row r="32" spans="1:3" x14ac:dyDescent="0.35">
      <c r="A32" s="130">
        <v>29</v>
      </c>
      <c r="B32" s="116" t="s">
        <v>109</v>
      </c>
      <c r="C32" s="116" t="s">
        <v>1438</v>
      </c>
    </row>
    <row r="33" spans="1:3" x14ac:dyDescent="0.35">
      <c r="A33" s="130">
        <v>30</v>
      </c>
      <c r="B33" s="116" t="s">
        <v>110</v>
      </c>
      <c r="C33" s="116" t="s">
        <v>1439</v>
      </c>
    </row>
    <row r="34" spans="1:3" x14ac:dyDescent="0.35">
      <c r="A34" s="130">
        <v>31</v>
      </c>
      <c r="B34" s="116" t="s">
        <v>111</v>
      </c>
      <c r="C34" s="116" t="s">
        <v>1440</v>
      </c>
    </row>
    <row r="35" spans="1:3" x14ac:dyDescent="0.35">
      <c r="A35" s="130">
        <v>32</v>
      </c>
      <c r="B35" s="116" t="s">
        <v>112</v>
      </c>
      <c r="C35" s="116" t="s">
        <v>1441</v>
      </c>
    </row>
    <row r="36" spans="1:3" x14ac:dyDescent="0.35">
      <c r="A36" s="130">
        <v>33</v>
      </c>
      <c r="B36" s="116" t="s">
        <v>128</v>
      </c>
      <c r="C36" s="116" t="s">
        <v>1442</v>
      </c>
    </row>
    <row r="37" spans="1:3" x14ac:dyDescent="0.35">
      <c r="A37" s="130">
        <v>34</v>
      </c>
      <c r="B37" s="116" t="s">
        <v>1292</v>
      </c>
      <c r="C37" s="116" t="s">
        <v>1443</v>
      </c>
    </row>
    <row r="38" spans="1:3" x14ac:dyDescent="0.35">
      <c r="A38" s="130">
        <v>35</v>
      </c>
      <c r="B38" s="116" t="s">
        <v>1291</v>
      </c>
      <c r="C38" s="116" t="s">
        <v>1444</v>
      </c>
    </row>
    <row r="39" spans="1:3" x14ac:dyDescent="0.35">
      <c r="A39" s="130">
        <v>36</v>
      </c>
      <c r="B39" s="116" t="s">
        <v>1290</v>
      </c>
      <c r="C39" s="116" t="s">
        <v>1445</v>
      </c>
    </row>
    <row r="40" spans="1:3" x14ac:dyDescent="0.35">
      <c r="A40" s="130">
        <v>37</v>
      </c>
      <c r="B40" s="116" t="s">
        <v>129</v>
      </c>
      <c r="C40" s="116" t="s">
        <v>1446</v>
      </c>
    </row>
    <row r="41" spans="1:3" ht="43.5" x14ac:dyDescent="0.35">
      <c r="A41" s="130">
        <v>38</v>
      </c>
      <c r="B41" s="116" t="s">
        <v>157</v>
      </c>
      <c r="C41" s="116" t="s">
        <v>1622</v>
      </c>
    </row>
    <row r="42" spans="1:3" ht="58" x14ac:dyDescent="0.35">
      <c r="A42" s="130">
        <v>39</v>
      </c>
      <c r="B42" s="116" t="s">
        <v>680</v>
      </c>
      <c r="C42" s="116" t="s">
        <v>1623</v>
      </c>
    </row>
    <row r="43" spans="1:3" x14ac:dyDescent="0.35">
      <c r="A43" s="130">
        <v>40</v>
      </c>
      <c r="B43" s="116" t="s">
        <v>1289</v>
      </c>
      <c r="C43" s="116" t="s">
        <v>1447</v>
      </c>
    </row>
    <row r="44" spans="1:3" x14ac:dyDescent="0.35">
      <c r="A44" s="130">
        <v>41</v>
      </c>
      <c r="B44" s="116" t="s">
        <v>133</v>
      </c>
      <c r="C44" s="116" t="s">
        <v>1448</v>
      </c>
    </row>
    <row r="45" spans="1:3" x14ac:dyDescent="0.35">
      <c r="A45" s="130">
        <v>42</v>
      </c>
      <c r="B45" s="116" t="s">
        <v>132</v>
      </c>
      <c r="C45" s="116" t="s">
        <v>1449</v>
      </c>
    </row>
    <row r="46" spans="1:3" x14ac:dyDescent="0.35">
      <c r="A46" s="130">
        <v>43</v>
      </c>
      <c r="B46" s="116" t="s">
        <v>134</v>
      </c>
      <c r="C46" s="116" t="s">
        <v>1450</v>
      </c>
    </row>
    <row r="47" spans="1:3" x14ac:dyDescent="0.35">
      <c r="A47" s="130">
        <v>44</v>
      </c>
      <c r="B47" s="116" t="s">
        <v>1288</v>
      </c>
      <c r="C47" s="116" t="s">
        <v>1451</v>
      </c>
    </row>
    <row r="48" spans="1:3" x14ac:dyDescent="0.35">
      <c r="A48" s="130">
        <v>45</v>
      </c>
      <c r="B48" s="116" t="s">
        <v>135</v>
      </c>
      <c r="C48" s="116" t="s">
        <v>1452</v>
      </c>
    </row>
    <row r="49" spans="1:3" x14ac:dyDescent="0.35">
      <c r="A49" s="130">
        <v>46</v>
      </c>
      <c r="B49" s="116" t="s">
        <v>136</v>
      </c>
      <c r="C49" s="116" t="s">
        <v>1453</v>
      </c>
    </row>
    <row r="50" spans="1:3" x14ac:dyDescent="0.35">
      <c r="A50" s="130">
        <v>47</v>
      </c>
      <c r="B50" s="116" t="s">
        <v>137</v>
      </c>
      <c r="C50" s="116" t="s">
        <v>1454</v>
      </c>
    </row>
    <row r="51" spans="1:3" x14ac:dyDescent="0.35">
      <c r="A51" s="130">
        <v>48</v>
      </c>
      <c r="B51" s="116" t="s">
        <v>138</v>
      </c>
      <c r="C51" s="116" t="s">
        <v>1455</v>
      </c>
    </row>
    <row r="52" spans="1:3" ht="58" x14ac:dyDescent="0.35">
      <c r="A52" s="130">
        <v>49</v>
      </c>
      <c r="B52" s="116" t="s">
        <v>682</v>
      </c>
      <c r="C52" s="116" t="s">
        <v>1624</v>
      </c>
    </row>
    <row r="53" spans="1:3" ht="58" x14ac:dyDescent="0.35">
      <c r="A53" s="130">
        <v>50</v>
      </c>
      <c r="B53" s="116" t="s">
        <v>684</v>
      </c>
      <c r="C53" s="116" t="s">
        <v>1625</v>
      </c>
    </row>
    <row r="54" spans="1:3" ht="58" x14ac:dyDescent="0.35">
      <c r="A54" s="130">
        <v>51</v>
      </c>
      <c r="B54" s="116" t="s">
        <v>483</v>
      </c>
      <c r="C54" s="116" t="s">
        <v>1626</v>
      </c>
    </row>
    <row r="55" spans="1:3" ht="29" x14ac:dyDescent="0.35">
      <c r="A55" s="130">
        <v>52</v>
      </c>
      <c r="B55" s="116" t="s">
        <v>222</v>
      </c>
      <c r="C55" s="116" t="s">
        <v>1627</v>
      </c>
    </row>
    <row r="56" spans="1:3" x14ac:dyDescent="0.35">
      <c r="A56" s="130">
        <v>53</v>
      </c>
      <c r="B56" s="116" t="s">
        <v>139</v>
      </c>
      <c r="C56" s="116" t="s">
        <v>1456</v>
      </c>
    </row>
    <row r="57" spans="1:3" x14ac:dyDescent="0.35">
      <c r="A57" s="130">
        <v>54</v>
      </c>
      <c r="B57" s="116" t="s">
        <v>140</v>
      </c>
      <c r="C57" s="116" t="s">
        <v>1457</v>
      </c>
    </row>
    <row r="58" spans="1:3" x14ac:dyDescent="0.35">
      <c r="A58" s="130">
        <v>55</v>
      </c>
      <c r="B58" s="116" t="s">
        <v>141</v>
      </c>
      <c r="C58" s="116" t="s">
        <v>1458</v>
      </c>
    </row>
    <row r="59" spans="1:3" x14ac:dyDescent="0.35">
      <c r="A59" s="130">
        <v>56</v>
      </c>
      <c r="B59" s="116" t="s">
        <v>142</v>
      </c>
      <c r="C59" s="116" t="s">
        <v>1459</v>
      </c>
    </row>
    <row r="60" spans="1:3" x14ac:dyDescent="0.35">
      <c r="A60" s="130">
        <v>57</v>
      </c>
      <c r="B60" s="116" t="s">
        <v>143</v>
      </c>
      <c r="C60" s="116" t="s">
        <v>1460</v>
      </c>
    </row>
    <row r="61" spans="1:3" x14ac:dyDescent="0.35">
      <c r="A61" s="130">
        <v>58</v>
      </c>
      <c r="B61" s="116" t="s">
        <v>144</v>
      </c>
      <c r="C61" s="116" t="s">
        <v>1461</v>
      </c>
    </row>
    <row r="62" spans="1:3" x14ac:dyDescent="0.35">
      <c r="A62" s="130">
        <v>59</v>
      </c>
      <c r="B62" s="116" t="s">
        <v>145</v>
      </c>
      <c r="C62" s="116" t="s">
        <v>1462</v>
      </c>
    </row>
    <row r="63" spans="1:3" ht="43.5" x14ac:dyDescent="0.35">
      <c r="A63" s="130">
        <v>60</v>
      </c>
      <c r="B63" s="116" t="s">
        <v>484</v>
      </c>
      <c r="C63" s="116" t="s">
        <v>1628</v>
      </c>
    </row>
    <row r="64" spans="1:3" ht="29" x14ac:dyDescent="0.35">
      <c r="A64" s="130">
        <v>61</v>
      </c>
      <c r="B64" s="116" t="s">
        <v>146</v>
      </c>
      <c r="C64" s="116" t="s">
        <v>1463</v>
      </c>
    </row>
    <row r="65" spans="1:3" x14ac:dyDescent="0.35">
      <c r="A65" s="130">
        <v>62</v>
      </c>
      <c r="B65" s="116" t="s">
        <v>5</v>
      </c>
      <c r="C65" s="116" t="s">
        <v>1464</v>
      </c>
    </row>
    <row r="66" spans="1:3" x14ac:dyDescent="0.35">
      <c r="A66" s="130">
        <v>63</v>
      </c>
      <c r="B66" s="116" t="s">
        <v>147</v>
      </c>
      <c r="C66" s="116" t="s">
        <v>1465</v>
      </c>
    </row>
    <row r="67" spans="1:3" ht="72.5" x14ac:dyDescent="0.35">
      <c r="A67" s="130">
        <v>64</v>
      </c>
      <c r="B67" s="116" t="s">
        <v>686</v>
      </c>
      <c r="C67" s="116" t="s">
        <v>1629</v>
      </c>
    </row>
    <row r="68" spans="1:3" ht="29" x14ac:dyDescent="0.35">
      <c r="A68" s="130">
        <v>65</v>
      </c>
      <c r="B68" s="116" t="s">
        <v>232</v>
      </c>
      <c r="C68" s="116" t="s">
        <v>1630</v>
      </c>
    </row>
    <row r="69" spans="1:3" x14ac:dyDescent="0.35">
      <c r="A69" s="130">
        <v>66</v>
      </c>
      <c r="B69" s="116" t="s">
        <v>1294</v>
      </c>
      <c r="C69" s="116" t="s">
        <v>1466</v>
      </c>
    </row>
    <row r="70" spans="1:3" x14ac:dyDescent="0.35">
      <c r="A70" s="130">
        <v>67</v>
      </c>
      <c r="B70" s="116" t="s">
        <v>1295</v>
      </c>
      <c r="C70" s="116" t="s">
        <v>1467</v>
      </c>
    </row>
    <row r="71" spans="1:3" ht="29" x14ac:dyDescent="0.35">
      <c r="A71" s="130">
        <v>68</v>
      </c>
      <c r="B71" s="116" t="s">
        <v>152</v>
      </c>
      <c r="C71" s="116" t="s">
        <v>1468</v>
      </c>
    </row>
    <row r="72" spans="1:3" x14ac:dyDescent="0.35">
      <c r="A72" s="130">
        <v>69</v>
      </c>
      <c r="B72" s="116" t="s">
        <v>1296</v>
      </c>
      <c r="C72" s="116" t="s">
        <v>1469</v>
      </c>
    </row>
    <row r="73" spans="1:3" x14ac:dyDescent="0.35">
      <c r="A73" s="130">
        <v>70</v>
      </c>
      <c r="B73" s="116" t="s">
        <v>154</v>
      </c>
      <c r="C73" s="116" t="s">
        <v>1470</v>
      </c>
    </row>
    <row r="74" spans="1:3" x14ac:dyDescent="0.35">
      <c r="A74" s="130">
        <v>71</v>
      </c>
      <c r="B74" s="116" t="s">
        <v>1297</v>
      </c>
      <c r="C74" s="116" t="s">
        <v>1471</v>
      </c>
    </row>
    <row r="75" spans="1:3" ht="29" x14ac:dyDescent="0.35">
      <c r="A75" s="130">
        <v>72</v>
      </c>
      <c r="B75" s="116" t="s">
        <v>153</v>
      </c>
      <c r="C75" s="116" t="s">
        <v>1472</v>
      </c>
    </row>
    <row r="76" spans="1:3" x14ac:dyDescent="0.35">
      <c r="A76" s="130">
        <v>73</v>
      </c>
      <c r="B76" s="116" t="s">
        <v>1296</v>
      </c>
      <c r="C76" s="116" t="s">
        <v>1469</v>
      </c>
    </row>
    <row r="77" spans="1:3" x14ac:dyDescent="0.35">
      <c r="A77" s="130">
        <v>74</v>
      </c>
      <c r="B77" s="116" t="s">
        <v>154</v>
      </c>
      <c r="C77" s="116" t="s">
        <v>1470</v>
      </c>
    </row>
    <row r="78" spans="1:3" x14ac:dyDescent="0.35">
      <c r="A78" s="130">
        <v>75</v>
      </c>
      <c r="B78" s="116" t="s">
        <v>1297</v>
      </c>
      <c r="C78" s="116" t="s">
        <v>1471</v>
      </c>
    </row>
    <row r="79" spans="1:3" x14ac:dyDescent="0.35">
      <c r="A79" s="130">
        <v>76</v>
      </c>
      <c r="B79" s="116" t="s">
        <v>1298</v>
      </c>
      <c r="C79" s="116" t="s">
        <v>1473</v>
      </c>
    </row>
    <row r="80" spans="1:3" x14ac:dyDescent="0.35">
      <c r="A80" s="130">
        <v>77</v>
      </c>
      <c r="B80" s="116" t="s">
        <v>155</v>
      </c>
      <c r="C80" s="116" t="s">
        <v>1474</v>
      </c>
    </row>
    <row r="81" spans="1:3" ht="29" x14ac:dyDescent="0.35">
      <c r="A81" s="130">
        <v>78</v>
      </c>
      <c r="B81" s="116" t="s">
        <v>156</v>
      </c>
      <c r="C81" s="116" t="s">
        <v>1475</v>
      </c>
    </row>
    <row r="82" spans="1:3" x14ac:dyDescent="0.35">
      <c r="A82" s="130">
        <v>79</v>
      </c>
      <c r="B82" s="116" t="s">
        <v>2505</v>
      </c>
      <c r="C82" s="116" t="s">
        <v>1476</v>
      </c>
    </row>
    <row r="83" spans="1:3" x14ac:dyDescent="0.35">
      <c r="A83" s="130">
        <v>80</v>
      </c>
      <c r="B83" s="116" t="s">
        <v>1296</v>
      </c>
      <c r="C83" s="116" t="s">
        <v>1469</v>
      </c>
    </row>
    <row r="84" spans="1:3" x14ac:dyDescent="0.35">
      <c r="A84" s="130">
        <v>81</v>
      </c>
      <c r="B84" s="116" t="s">
        <v>154</v>
      </c>
      <c r="C84" s="116" t="s">
        <v>1470</v>
      </c>
    </row>
    <row r="85" spans="1:3" x14ac:dyDescent="0.35">
      <c r="A85" s="130">
        <v>82</v>
      </c>
      <c r="B85" s="116" t="s">
        <v>1297</v>
      </c>
      <c r="C85" s="116" t="s">
        <v>1471</v>
      </c>
    </row>
    <row r="86" spans="1:3" ht="29" x14ac:dyDescent="0.35">
      <c r="A86" s="130">
        <v>83</v>
      </c>
      <c r="B86" s="116" t="s">
        <v>161</v>
      </c>
      <c r="C86" s="116" t="s">
        <v>1477</v>
      </c>
    </row>
    <row r="87" spans="1:3" x14ac:dyDescent="0.35">
      <c r="A87" s="130">
        <v>84</v>
      </c>
      <c r="B87" s="116" t="s">
        <v>159</v>
      </c>
      <c r="C87" s="116" t="s">
        <v>1478</v>
      </c>
    </row>
    <row r="88" spans="1:3" x14ac:dyDescent="0.35">
      <c r="A88" s="130">
        <v>85</v>
      </c>
      <c r="B88" s="116" t="s">
        <v>278</v>
      </c>
      <c r="C88" s="116" t="s">
        <v>1479</v>
      </c>
    </row>
    <row r="89" spans="1:3" x14ac:dyDescent="0.35">
      <c r="A89" s="130">
        <v>86</v>
      </c>
      <c r="B89" s="116" t="s">
        <v>160</v>
      </c>
      <c r="C89" s="116" t="s">
        <v>1480</v>
      </c>
    </row>
    <row r="90" spans="1:3" x14ac:dyDescent="0.35">
      <c r="A90" s="130">
        <v>87</v>
      </c>
      <c r="B90" s="116" t="s">
        <v>1299</v>
      </c>
      <c r="C90" s="116" t="s">
        <v>1481</v>
      </c>
    </row>
    <row r="91" spans="1:3" ht="29" x14ac:dyDescent="0.35">
      <c r="A91" s="130">
        <v>88</v>
      </c>
      <c r="B91" s="116" t="s">
        <v>2506</v>
      </c>
      <c r="C91" s="116" t="s">
        <v>1482</v>
      </c>
    </row>
    <row r="92" spans="1:3" ht="116" x14ac:dyDescent="0.35">
      <c r="A92" s="130">
        <v>89</v>
      </c>
      <c r="B92" s="116" t="s">
        <v>2507</v>
      </c>
      <c r="C92" s="116" t="s">
        <v>1631</v>
      </c>
    </row>
    <row r="93" spans="1:3" ht="275.5" x14ac:dyDescent="0.35">
      <c r="A93" s="130">
        <v>90</v>
      </c>
      <c r="B93" s="116" t="s">
        <v>82</v>
      </c>
      <c r="C93" s="116" t="s">
        <v>1632</v>
      </c>
    </row>
    <row r="94" spans="1:3" ht="43.5" x14ac:dyDescent="0.35">
      <c r="A94" s="130">
        <v>91</v>
      </c>
      <c r="B94" s="116" t="s">
        <v>281</v>
      </c>
      <c r="C94" s="116" t="s">
        <v>1633</v>
      </c>
    </row>
    <row r="95" spans="1:3" x14ac:dyDescent="0.35">
      <c r="A95" s="130">
        <v>92</v>
      </c>
      <c r="B95" s="116" t="s">
        <v>482</v>
      </c>
      <c r="C95" s="116" t="s">
        <v>1483</v>
      </c>
    </row>
    <row r="96" spans="1:3" ht="29" x14ac:dyDescent="0.35">
      <c r="A96" s="130">
        <v>93</v>
      </c>
      <c r="B96" s="116" t="s">
        <v>162</v>
      </c>
      <c r="C96" s="116" t="s">
        <v>1484</v>
      </c>
    </row>
    <row r="97" spans="1:3" ht="25" x14ac:dyDescent="0.35">
      <c r="A97" s="130">
        <v>94</v>
      </c>
      <c r="B97" s="118" t="s">
        <v>166</v>
      </c>
      <c r="C97" s="118" t="s">
        <v>1485</v>
      </c>
    </row>
    <row r="98" spans="1:3" ht="37.5" x14ac:dyDescent="0.35">
      <c r="A98" s="130">
        <v>95</v>
      </c>
      <c r="B98" s="118" t="s">
        <v>171</v>
      </c>
      <c r="C98" s="118" t="s">
        <v>1634</v>
      </c>
    </row>
    <row r="99" spans="1:3" ht="25" x14ac:dyDescent="0.35">
      <c r="A99" s="130">
        <v>96</v>
      </c>
      <c r="B99" s="118" t="s">
        <v>1303</v>
      </c>
      <c r="C99" s="118" t="s">
        <v>1486</v>
      </c>
    </row>
    <row r="100" spans="1:3" ht="25" x14ac:dyDescent="0.35">
      <c r="A100" s="130">
        <v>97</v>
      </c>
      <c r="B100" s="119" t="s">
        <v>172</v>
      </c>
      <c r="C100" s="119" t="s">
        <v>1487</v>
      </c>
    </row>
    <row r="101" spans="1:3" ht="28" x14ac:dyDescent="0.35">
      <c r="A101" s="130">
        <v>98</v>
      </c>
      <c r="B101" s="120" t="s">
        <v>2508</v>
      </c>
      <c r="C101" s="120" t="s">
        <v>2516</v>
      </c>
    </row>
    <row r="102" spans="1:3" ht="37.5" x14ac:dyDescent="0.35">
      <c r="A102" s="130">
        <v>99</v>
      </c>
      <c r="B102" s="118" t="s">
        <v>178</v>
      </c>
      <c r="C102" s="118" t="s">
        <v>1635</v>
      </c>
    </row>
    <row r="103" spans="1:3" ht="25" x14ac:dyDescent="0.35">
      <c r="A103" s="130">
        <v>100</v>
      </c>
      <c r="B103" s="118" t="s">
        <v>179</v>
      </c>
      <c r="C103" s="118" t="s">
        <v>1636</v>
      </c>
    </row>
    <row r="104" spans="1:3" ht="25" x14ac:dyDescent="0.35">
      <c r="A104" s="130">
        <v>101</v>
      </c>
      <c r="B104" s="118" t="s">
        <v>180</v>
      </c>
      <c r="C104" s="118" t="s">
        <v>1637</v>
      </c>
    </row>
    <row r="105" spans="1:3" x14ac:dyDescent="0.35">
      <c r="A105" s="130">
        <v>102</v>
      </c>
      <c r="B105" s="116" t="s">
        <v>181</v>
      </c>
      <c r="C105" s="116" t="s">
        <v>1488</v>
      </c>
    </row>
    <row r="106" spans="1:3" x14ac:dyDescent="0.35">
      <c r="A106" s="130">
        <v>103</v>
      </c>
      <c r="B106" s="116" t="s">
        <v>276</v>
      </c>
      <c r="C106" s="116" t="s">
        <v>1489</v>
      </c>
    </row>
    <row r="107" spans="1:3" ht="72.5" x14ac:dyDescent="0.35">
      <c r="A107" s="130">
        <v>104</v>
      </c>
      <c r="B107" s="116" t="s">
        <v>694</v>
      </c>
      <c r="C107" s="116" t="s">
        <v>1638</v>
      </c>
    </row>
    <row r="108" spans="1:3" ht="29" x14ac:dyDescent="0.35">
      <c r="A108" s="130">
        <v>105</v>
      </c>
      <c r="B108" s="116" t="s">
        <v>494</v>
      </c>
      <c r="C108" s="116" t="s">
        <v>1490</v>
      </c>
    </row>
    <row r="109" spans="1:3" ht="43.5" x14ac:dyDescent="0.35">
      <c r="A109" s="130">
        <v>106</v>
      </c>
      <c r="B109" s="116" t="s">
        <v>193</v>
      </c>
      <c r="C109" s="116" t="s">
        <v>1639</v>
      </c>
    </row>
    <row r="110" spans="1:3" ht="29" x14ac:dyDescent="0.35">
      <c r="A110" s="130">
        <v>107</v>
      </c>
      <c r="B110" s="116" t="s">
        <v>194</v>
      </c>
      <c r="C110" s="116" t="s">
        <v>1491</v>
      </c>
    </row>
    <row r="111" spans="1:3" ht="43.5" x14ac:dyDescent="0.35">
      <c r="A111" s="130">
        <v>108</v>
      </c>
      <c r="B111" s="116" t="s">
        <v>197</v>
      </c>
      <c r="C111" s="116" t="s">
        <v>1640</v>
      </c>
    </row>
    <row r="112" spans="1:3" x14ac:dyDescent="0.35">
      <c r="A112" s="130">
        <v>109</v>
      </c>
      <c r="B112" s="116" t="s">
        <v>198</v>
      </c>
      <c r="C112" s="116" t="s">
        <v>1492</v>
      </c>
    </row>
    <row r="113" spans="1:3" ht="29" x14ac:dyDescent="0.35">
      <c r="A113" s="130">
        <v>110</v>
      </c>
      <c r="B113" s="116" t="s">
        <v>268</v>
      </c>
      <c r="C113" s="116" t="s">
        <v>1493</v>
      </c>
    </row>
    <row r="114" spans="1:3" x14ac:dyDescent="0.35">
      <c r="A114" s="130">
        <v>111</v>
      </c>
      <c r="B114" s="116" t="s">
        <v>269</v>
      </c>
      <c r="C114" s="116" t="s">
        <v>1494</v>
      </c>
    </row>
    <row r="115" spans="1:3" ht="29" x14ac:dyDescent="0.35">
      <c r="A115" s="130">
        <v>112</v>
      </c>
      <c r="B115" s="116" t="s">
        <v>199</v>
      </c>
      <c r="C115" s="116" t="s">
        <v>1495</v>
      </c>
    </row>
    <row r="116" spans="1:3" x14ac:dyDescent="0.35">
      <c r="A116" s="130">
        <v>113</v>
      </c>
      <c r="B116" s="116" t="s">
        <v>203</v>
      </c>
      <c r="C116" s="116" t="s">
        <v>1496</v>
      </c>
    </row>
    <row r="117" spans="1:3" ht="29" x14ac:dyDescent="0.35">
      <c r="A117" s="130">
        <v>114</v>
      </c>
      <c r="B117" s="116" t="s">
        <v>495</v>
      </c>
      <c r="C117" s="116" t="s">
        <v>1641</v>
      </c>
    </row>
    <row r="118" spans="1:3" ht="29" x14ac:dyDescent="0.35">
      <c r="A118" s="130">
        <v>115</v>
      </c>
      <c r="B118" s="116" t="s">
        <v>496</v>
      </c>
      <c r="C118" s="116" t="s">
        <v>1642</v>
      </c>
    </row>
    <row r="119" spans="1:3" ht="43.5" x14ac:dyDescent="0.35">
      <c r="A119" s="130">
        <v>116</v>
      </c>
      <c r="B119" s="116" t="s">
        <v>497</v>
      </c>
      <c r="C119" s="116" t="s">
        <v>1643</v>
      </c>
    </row>
    <row r="120" spans="1:3" x14ac:dyDescent="0.35">
      <c r="A120" s="130">
        <v>117</v>
      </c>
      <c r="B120" s="116" t="s">
        <v>209</v>
      </c>
      <c r="C120" s="116" t="s">
        <v>1497</v>
      </c>
    </row>
    <row r="121" spans="1:3" x14ac:dyDescent="0.35">
      <c r="A121" s="130">
        <v>118</v>
      </c>
      <c r="B121" s="116" t="s">
        <v>210</v>
      </c>
      <c r="C121" s="116" t="s">
        <v>1498</v>
      </c>
    </row>
    <row r="122" spans="1:3" x14ac:dyDescent="0.35">
      <c r="A122" s="130">
        <v>119</v>
      </c>
      <c r="B122" s="116" t="s">
        <v>505</v>
      </c>
      <c r="C122" s="116" t="s">
        <v>1499</v>
      </c>
    </row>
    <row r="123" spans="1:3" ht="29" x14ac:dyDescent="0.35">
      <c r="A123" s="130">
        <v>120</v>
      </c>
      <c r="B123" s="116" t="s">
        <v>498</v>
      </c>
      <c r="C123" s="116" t="s">
        <v>1644</v>
      </c>
    </row>
    <row r="124" spans="1:3" x14ac:dyDescent="0.35">
      <c r="A124" s="130">
        <v>121</v>
      </c>
      <c r="B124" s="116" t="s">
        <v>499</v>
      </c>
      <c r="C124" s="116" t="s">
        <v>1500</v>
      </c>
    </row>
    <row r="125" spans="1:3" x14ac:dyDescent="0.35">
      <c r="A125" s="130">
        <v>122</v>
      </c>
      <c r="B125" s="116" t="s">
        <v>504</v>
      </c>
      <c r="C125" s="116" t="s">
        <v>1501</v>
      </c>
    </row>
    <row r="126" spans="1:3" x14ac:dyDescent="0.35">
      <c r="A126" s="130">
        <v>123</v>
      </c>
      <c r="B126" s="116" t="s">
        <v>248</v>
      </c>
      <c r="C126" s="116" t="s">
        <v>1502</v>
      </c>
    </row>
    <row r="127" spans="1:3" x14ac:dyDescent="0.35">
      <c r="A127" s="130">
        <v>124</v>
      </c>
      <c r="B127" s="116" t="s">
        <v>249</v>
      </c>
      <c r="C127" s="116" t="s">
        <v>1503</v>
      </c>
    </row>
    <row r="128" spans="1:3" ht="29" x14ac:dyDescent="0.35">
      <c r="A128" s="130">
        <v>125</v>
      </c>
      <c r="B128" s="116" t="s">
        <v>502</v>
      </c>
      <c r="C128" s="116" t="s">
        <v>1504</v>
      </c>
    </row>
    <row r="129" spans="1:3" x14ac:dyDescent="0.35">
      <c r="A129" s="130">
        <v>126</v>
      </c>
      <c r="B129" s="118" t="s">
        <v>500</v>
      </c>
      <c r="C129" s="118" t="s">
        <v>1505</v>
      </c>
    </row>
    <row r="130" spans="1:3" x14ac:dyDescent="0.35">
      <c r="A130" s="130">
        <v>127</v>
      </c>
      <c r="B130" s="119" t="s">
        <v>212</v>
      </c>
      <c r="C130" s="119" t="s">
        <v>1506</v>
      </c>
    </row>
    <row r="131" spans="1:3" x14ac:dyDescent="0.35">
      <c r="A131" s="130">
        <v>128</v>
      </c>
      <c r="B131" s="120" t="s">
        <v>501</v>
      </c>
      <c r="C131" s="120" t="s">
        <v>1507</v>
      </c>
    </row>
    <row r="132" spans="1:3" x14ac:dyDescent="0.35">
      <c r="A132" s="130">
        <v>129</v>
      </c>
      <c r="B132" s="118" t="s">
        <v>1305</v>
      </c>
      <c r="C132" s="118" t="s">
        <v>1508</v>
      </c>
    </row>
    <row r="133" spans="1:3" x14ac:dyDescent="0.35">
      <c r="A133" s="130">
        <v>130</v>
      </c>
      <c r="B133" s="121" t="s">
        <v>253</v>
      </c>
      <c r="C133" s="121" t="s">
        <v>1509</v>
      </c>
    </row>
    <row r="134" spans="1:3" x14ac:dyDescent="0.35">
      <c r="A134" s="130">
        <v>131</v>
      </c>
      <c r="B134" s="121" t="s">
        <v>254</v>
      </c>
      <c r="C134" s="121" t="s">
        <v>1510</v>
      </c>
    </row>
    <row r="135" spans="1:3" ht="25" x14ac:dyDescent="0.35">
      <c r="A135" s="130">
        <v>132</v>
      </c>
      <c r="B135" s="121" t="s">
        <v>255</v>
      </c>
      <c r="C135" s="121" t="s">
        <v>1511</v>
      </c>
    </row>
    <row r="136" spans="1:3" x14ac:dyDescent="0.35">
      <c r="A136" s="130">
        <v>133</v>
      </c>
      <c r="B136" s="121" t="s">
        <v>256</v>
      </c>
      <c r="C136" s="121" t="s">
        <v>1512</v>
      </c>
    </row>
    <row r="137" spans="1:3" ht="37.5" x14ac:dyDescent="0.35">
      <c r="A137" s="130">
        <v>134</v>
      </c>
      <c r="B137" s="118" t="s">
        <v>437</v>
      </c>
      <c r="C137" s="118" t="s">
        <v>1645</v>
      </c>
    </row>
    <row r="138" spans="1:3" x14ac:dyDescent="0.35">
      <c r="A138" s="130">
        <v>135</v>
      </c>
      <c r="B138" s="116" t="s">
        <v>182</v>
      </c>
      <c r="C138" s="116" t="s">
        <v>1513</v>
      </c>
    </row>
    <row r="139" spans="1:3" x14ac:dyDescent="0.35">
      <c r="A139" s="130">
        <v>136</v>
      </c>
      <c r="B139" s="116" t="s">
        <v>276</v>
      </c>
      <c r="C139" s="116" t="s">
        <v>1489</v>
      </c>
    </row>
    <row r="140" spans="1:3" ht="29" x14ac:dyDescent="0.35">
      <c r="A140" s="130">
        <v>137</v>
      </c>
      <c r="B140" s="116" t="s">
        <v>93</v>
      </c>
      <c r="C140" s="116" t="s">
        <v>1514</v>
      </c>
    </row>
    <row r="141" spans="1:3" ht="29" x14ac:dyDescent="0.35">
      <c r="A141" s="130">
        <v>138</v>
      </c>
      <c r="B141" s="116" t="s">
        <v>309</v>
      </c>
      <c r="C141" s="116" t="s">
        <v>1646</v>
      </c>
    </row>
    <row r="142" spans="1:3" x14ac:dyDescent="0.35">
      <c r="A142" s="130">
        <v>139</v>
      </c>
      <c r="B142" s="116" t="s">
        <v>290</v>
      </c>
      <c r="C142" s="116" t="s">
        <v>1515</v>
      </c>
    </row>
    <row r="143" spans="1:3" x14ac:dyDescent="0.35">
      <c r="A143" s="130">
        <v>140</v>
      </c>
      <c r="B143" s="116" t="s">
        <v>282</v>
      </c>
      <c r="C143" s="116" t="s">
        <v>1516</v>
      </c>
    </row>
    <row r="144" spans="1:3" x14ac:dyDescent="0.35">
      <c r="A144" s="130">
        <v>141</v>
      </c>
      <c r="B144" s="116" t="s">
        <v>283</v>
      </c>
      <c r="C144" s="116" t="s">
        <v>1517</v>
      </c>
    </row>
    <row r="145" spans="1:3" x14ac:dyDescent="0.35">
      <c r="A145" s="130">
        <v>142</v>
      </c>
      <c r="B145" s="116" t="s">
        <v>284</v>
      </c>
      <c r="C145" s="116" t="s">
        <v>1518</v>
      </c>
    </row>
    <row r="146" spans="1:3" x14ac:dyDescent="0.35">
      <c r="A146" s="130">
        <v>143</v>
      </c>
      <c r="B146" s="116" t="s">
        <v>285</v>
      </c>
      <c r="C146" s="116" t="s">
        <v>1519</v>
      </c>
    </row>
    <row r="147" spans="1:3" x14ac:dyDescent="0.35">
      <c r="A147" s="130">
        <v>144</v>
      </c>
      <c r="B147" s="116" t="s">
        <v>286</v>
      </c>
      <c r="C147" s="116" t="s">
        <v>1520</v>
      </c>
    </row>
    <row r="148" spans="1:3" x14ac:dyDescent="0.35">
      <c r="A148" s="130">
        <v>145</v>
      </c>
      <c r="B148" s="116" t="s">
        <v>287</v>
      </c>
      <c r="C148" s="116" t="s">
        <v>1521</v>
      </c>
    </row>
    <row r="149" spans="1:3" x14ac:dyDescent="0.35">
      <c r="A149" s="130">
        <v>146</v>
      </c>
      <c r="B149" s="116" t="s">
        <v>288</v>
      </c>
      <c r="C149" s="116" t="s">
        <v>1522</v>
      </c>
    </row>
    <row r="150" spans="1:3" x14ac:dyDescent="0.35">
      <c r="A150" s="130">
        <v>147</v>
      </c>
      <c r="B150" s="116" t="s">
        <v>289</v>
      </c>
      <c r="C150" s="116" t="s">
        <v>1523</v>
      </c>
    </row>
    <row r="151" spans="1:3" x14ac:dyDescent="0.35">
      <c r="A151" s="130">
        <v>148</v>
      </c>
      <c r="B151" s="116" t="s">
        <v>292</v>
      </c>
      <c r="C151" s="116" t="s">
        <v>1524</v>
      </c>
    </row>
    <row r="152" spans="1:3" ht="43.5" x14ac:dyDescent="0.35">
      <c r="A152" s="130">
        <v>149</v>
      </c>
      <c r="B152" s="116" t="s">
        <v>291</v>
      </c>
      <c r="C152" s="116" t="s">
        <v>1525</v>
      </c>
    </row>
    <row r="153" spans="1:3" ht="29" x14ac:dyDescent="0.35">
      <c r="A153" s="130">
        <v>150</v>
      </c>
      <c r="B153" s="116" t="s">
        <v>293</v>
      </c>
      <c r="C153" s="116" t="s">
        <v>1526</v>
      </c>
    </row>
    <row r="154" spans="1:3" ht="43.5" x14ac:dyDescent="0.35">
      <c r="A154" s="130">
        <v>151</v>
      </c>
      <c r="B154" s="116" t="s">
        <v>299</v>
      </c>
      <c r="C154" s="116" t="s">
        <v>1647</v>
      </c>
    </row>
    <row r="155" spans="1:3" ht="72.5" x14ac:dyDescent="0.35">
      <c r="A155" s="130">
        <v>152</v>
      </c>
      <c r="B155" s="116" t="s">
        <v>304</v>
      </c>
      <c r="C155" s="116" t="s">
        <v>1648</v>
      </c>
    </row>
    <row r="156" spans="1:3" ht="58" x14ac:dyDescent="0.35">
      <c r="A156" s="130">
        <v>153</v>
      </c>
      <c r="B156" s="116" t="s">
        <v>514</v>
      </c>
      <c r="C156" s="116" t="s">
        <v>1649</v>
      </c>
    </row>
    <row r="157" spans="1:3" ht="43.5" x14ac:dyDescent="0.35">
      <c r="A157" s="130">
        <v>154</v>
      </c>
      <c r="B157" s="116" t="s">
        <v>310</v>
      </c>
      <c r="C157" s="116" t="s">
        <v>1650</v>
      </c>
    </row>
    <row r="158" spans="1:3" x14ac:dyDescent="0.35">
      <c r="A158" s="130">
        <v>155</v>
      </c>
      <c r="B158" s="116" t="s">
        <v>438</v>
      </c>
      <c r="C158" s="116" t="s">
        <v>1527</v>
      </c>
    </row>
    <row r="159" spans="1:3" x14ac:dyDescent="0.35">
      <c r="A159" s="130">
        <v>156</v>
      </c>
      <c r="B159" s="116" t="s">
        <v>276</v>
      </c>
      <c r="C159" s="116" t="s">
        <v>1489</v>
      </c>
    </row>
    <row r="160" spans="1:3" x14ac:dyDescent="0.35">
      <c r="A160" s="130">
        <v>157</v>
      </c>
      <c r="B160" s="118" t="s">
        <v>1306</v>
      </c>
      <c r="C160" s="118" t="s">
        <v>1528</v>
      </c>
    </row>
    <row r="161" spans="1:3" x14ac:dyDescent="0.35">
      <c r="A161" s="130">
        <v>158</v>
      </c>
      <c r="B161" s="121" t="s">
        <v>314</v>
      </c>
      <c r="C161" s="121" t="s">
        <v>1529</v>
      </c>
    </row>
    <row r="162" spans="1:3" x14ac:dyDescent="0.35">
      <c r="A162" s="130">
        <v>159</v>
      </c>
      <c r="B162" s="121" t="s">
        <v>315</v>
      </c>
      <c r="C162" s="121" t="s">
        <v>1530</v>
      </c>
    </row>
    <row r="163" spans="1:3" x14ac:dyDescent="0.35">
      <c r="A163" s="130">
        <v>160</v>
      </c>
      <c r="B163" s="121" t="s">
        <v>316</v>
      </c>
      <c r="C163" s="121" t="s">
        <v>1531</v>
      </c>
    </row>
    <row r="164" spans="1:3" x14ac:dyDescent="0.35">
      <c r="A164" s="130">
        <v>161</v>
      </c>
      <c r="B164" s="118" t="s">
        <v>321</v>
      </c>
      <c r="C164" s="118" t="s">
        <v>1532</v>
      </c>
    </row>
    <row r="165" spans="1:3" ht="25" x14ac:dyDescent="0.35">
      <c r="A165" s="130">
        <v>162</v>
      </c>
      <c r="B165" s="119" t="s">
        <v>322</v>
      </c>
      <c r="C165" s="119" t="s">
        <v>1533</v>
      </c>
    </row>
    <row r="166" spans="1:3" ht="25" x14ac:dyDescent="0.35">
      <c r="A166" s="130">
        <v>163</v>
      </c>
      <c r="B166" s="119" t="s">
        <v>323</v>
      </c>
      <c r="C166" s="119" t="s">
        <v>1534</v>
      </c>
    </row>
    <row r="167" spans="1:3" ht="62.5" x14ac:dyDescent="0.35">
      <c r="A167" s="130">
        <v>164</v>
      </c>
      <c r="B167" s="118" t="s">
        <v>1777</v>
      </c>
      <c r="C167" s="118" t="s">
        <v>1780</v>
      </c>
    </row>
    <row r="168" spans="1:3" ht="37.5" x14ac:dyDescent="0.35">
      <c r="A168" s="130">
        <v>165</v>
      </c>
      <c r="B168" s="118" t="s">
        <v>1781</v>
      </c>
      <c r="C168" s="118" t="s">
        <v>1784</v>
      </c>
    </row>
    <row r="169" spans="1:3" ht="37.5" x14ac:dyDescent="0.35">
      <c r="A169" s="130">
        <v>166</v>
      </c>
      <c r="B169" s="118" t="s">
        <v>331</v>
      </c>
      <c r="C169" s="118" t="s">
        <v>1651</v>
      </c>
    </row>
    <row r="170" spans="1:3" ht="37.5" x14ac:dyDescent="0.35">
      <c r="A170" s="130">
        <v>167</v>
      </c>
      <c r="B170" s="118" t="s">
        <v>332</v>
      </c>
      <c r="C170" s="118" t="s">
        <v>1652</v>
      </c>
    </row>
    <row r="171" spans="1:3" ht="25" x14ac:dyDescent="0.35">
      <c r="A171" s="130">
        <v>168</v>
      </c>
      <c r="B171" s="118" t="s">
        <v>336</v>
      </c>
      <c r="C171" s="118" t="s">
        <v>1653</v>
      </c>
    </row>
    <row r="172" spans="1:3" x14ac:dyDescent="0.35">
      <c r="A172" s="130">
        <v>169</v>
      </c>
      <c r="B172" s="118" t="s">
        <v>337</v>
      </c>
      <c r="C172" s="118" t="s">
        <v>1535</v>
      </c>
    </row>
    <row r="173" spans="1:3" x14ac:dyDescent="0.35">
      <c r="A173" s="130">
        <v>170</v>
      </c>
      <c r="B173" s="119" t="s">
        <v>338</v>
      </c>
      <c r="C173" s="119" t="s">
        <v>1536</v>
      </c>
    </row>
    <row r="174" spans="1:3" x14ac:dyDescent="0.35">
      <c r="A174" s="130">
        <v>171</v>
      </c>
      <c r="B174" s="119" t="s">
        <v>339</v>
      </c>
      <c r="C174" s="119" t="s">
        <v>1537</v>
      </c>
    </row>
    <row r="175" spans="1:3" x14ac:dyDescent="0.35">
      <c r="A175" s="130">
        <v>172</v>
      </c>
      <c r="B175" s="118" t="s">
        <v>340</v>
      </c>
      <c r="C175" s="118" t="s">
        <v>1538</v>
      </c>
    </row>
    <row r="176" spans="1:3" x14ac:dyDescent="0.35">
      <c r="A176" s="130">
        <v>173</v>
      </c>
      <c r="B176" s="121" t="s">
        <v>341</v>
      </c>
      <c r="C176" s="121" t="s">
        <v>1539</v>
      </c>
    </row>
    <row r="177" spans="1:3" x14ac:dyDescent="0.35">
      <c r="A177" s="130">
        <v>174</v>
      </c>
      <c r="B177" s="121" t="s">
        <v>342</v>
      </c>
      <c r="C177" s="121" t="s">
        <v>1540</v>
      </c>
    </row>
    <row r="178" spans="1:3" x14ac:dyDescent="0.35">
      <c r="A178" s="130">
        <v>175</v>
      </c>
      <c r="B178" s="121" t="s">
        <v>343</v>
      </c>
      <c r="C178" s="121" t="s">
        <v>1541</v>
      </c>
    </row>
    <row r="179" spans="1:3" x14ac:dyDescent="0.35">
      <c r="A179" s="130">
        <v>176</v>
      </c>
      <c r="B179" s="122" t="s">
        <v>183</v>
      </c>
      <c r="C179" s="122" t="s">
        <v>1542</v>
      </c>
    </row>
    <row r="180" spans="1:3" x14ac:dyDescent="0.35">
      <c r="A180" s="130">
        <v>177</v>
      </c>
      <c r="B180" s="118" t="s">
        <v>1307</v>
      </c>
      <c r="C180" s="118" t="s">
        <v>1543</v>
      </c>
    </row>
    <row r="181" spans="1:3" x14ac:dyDescent="0.35">
      <c r="A181" s="130">
        <v>178</v>
      </c>
      <c r="B181" s="121" t="s">
        <v>344</v>
      </c>
      <c r="C181" s="121" t="s">
        <v>1544</v>
      </c>
    </row>
    <row r="182" spans="1:3" x14ac:dyDescent="0.35">
      <c r="A182" s="130">
        <v>179</v>
      </c>
      <c r="B182" s="121" t="s">
        <v>345</v>
      </c>
      <c r="C182" s="121" t="s">
        <v>1545</v>
      </c>
    </row>
    <row r="183" spans="1:3" x14ac:dyDescent="0.35">
      <c r="A183" s="130">
        <v>180</v>
      </c>
      <c r="B183" s="121" t="s">
        <v>346</v>
      </c>
      <c r="C183" s="121" t="s">
        <v>1546</v>
      </c>
    </row>
    <row r="184" spans="1:3" x14ac:dyDescent="0.35">
      <c r="A184" s="130">
        <v>181</v>
      </c>
      <c r="B184" s="118" t="s">
        <v>2509</v>
      </c>
      <c r="C184" s="118" t="s">
        <v>1547</v>
      </c>
    </row>
    <row r="185" spans="1:3" x14ac:dyDescent="0.35">
      <c r="A185" s="130">
        <v>182</v>
      </c>
      <c r="B185" s="121" t="s">
        <v>348</v>
      </c>
      <c r="C185" s="121" t="s">
        <v>1548</v>
      </c>
    </row>
    <row r="186" spans="1:3" x14ac:dyDescent="0.35">
      <c r="A186" s="130">
        <v>183</v>
      </c>
      <c r="B186" s="121" t="s">
        <v>349</v>
      </c>
      <c r="C186" s="121" t="s">
        <v>1549</v>
      </c>
    </row>
    <row r="187" spans="1:3" x14ac:dyDescent="0.35">
      <c r="A187" s="130">
        <v>184</v>
      </c>
      <c r="B187" s="121" t="s">
        <v>351</v>
      </c>
      <c r="C187" s="121" t="s">
        <v>1550</v>
      </c>
    </row>
    <row r="188" spans="1:3" x14ac:dyDescent="0.35">
      <c r="A188" s="130">
        <v>185</v>
      </c>
      <c r="B188" s="121" t="s">
        <v>350</v>
      </c>
      <c r="C188" s="121" t="s">
        <v>1551</v>
      </c>
    </row>
    <row r="189" spans="1:3" x14ac:dyDescent="0.35">
      <c r="A189" s="130">
        <v>186</v>
      </c>
      <c r="B189" s="121" t="s">
        <v>352</v>
      </c>
      <c r="C189" s="121" t="s">
        <v>1552</v>
      </c>
    </row>
    <row r="190" spans="1:3" x14ac:dyDescent="0.35">
      <c r="A190" s="130">
        <v>187</v>
      </c>
      <c r="B190" s="121" t="s">
        <v>353</v>
      </c>
      <c r="C190" s="121" t="s">
        <v>1553</v>
      </c>
    </row>
    <row r="191" spans="1:3" x14ac:dyDescent="0.35">
      <c r="A191" s="130">
        <v>188</v>
      </c>
      <c r="B191" s="121" t="s">
        <v>354</v>
      </c>
      <c r="C191" s="121" t="s">
        <v>1554</v>
      </c>
    </row>
    <row r="192" spans="1:3" ht="25" x14ac:dyDescent="0.35">
      <c r="A192" s="130">
        <v>189</v>
      </c>
      <c r="B192" s="121" t="s">
        <v>355</v>
      </c>
      <c r="C192" s="121" t="s">
        <v>1555</v>
      </c>
    </row>
    <row r="193" spans="1:3" x14ac:dyDescent="0.35">
      <c r="A193" s="130">
        <v>190</v>
      </c>
      <c r="B193" s="118" t="s">
        <v>360</v>
      </c>
      <c r="C193" s="118" t="s">
        <v>1556</v>
      </c>
    </row>
    <row r="194" spans="1:3" ht="25" x14ac:dyDescent="0.35">
      <c r="A194" s="130">
        <v>191</v>
      </c>
      <c r="B194" s="118" t="s">
        <v>361</v>
      </c>
      <c r="C194" s="118" t="s">
        <v>1557</v>
      </c>
    </row>
    <row r="195" spans="1:3" ht="50" x14ac:dyDescent="0.35">
      <c r="A195" s="130">
        <v>192</v>
      </c>
      <c r="B195" s="119" t="s">
        <v>538</v>
      </c>
      <c r="C195" s="119" t="s">
        <v>1654</v>
      </c>
    </row>
    <row r="196" spans="1:3" ht="37.5" x14ac:dyDescent="0.35">
      <c r="A196" s="130">
        <v>193</v>
      </c>
      <c r="B196" s="119" t="s">
        <v>365</v>
      </c>
      <c r="C196" s="119" t="s">
        <v>1655</v>
      </c>
    </row>
    <row r="197" spans="1:3" x14ac:dyDescent="0.35">
      <c r="A197" s="130">
        <v>194</v>
      </c>
      <c r="B197" s="118" t="s">
        <v>369</v>
      </c>
      <c r="C197" s="118" t="s">
        <v>1558</v>
      </c>
    </row>
    <row r="198" spans="1:3" x14ac:dyDescent="0.35">
      <c r="A198" s="130">
        <v>195</v>
      </c>
      <c r="B198" s="121" t="s">
        <v>370</v>
      </c>
      <c r="C198" s="121" t="s">
        <v>1559</v>
      </c>
    </row>
    <row r="199" spans="1:3" x14ac:dyDescent="0.35">
      <c r="A199" s="130">
        <v>196</v>
      </c>
      <c r="B199" s="121" t="s">
        <v>371</v>
      </c>
      <c r="C199" s="121" t="s">
        <v>1560</v>
      </c>
    </row>
    <row r="200" spans="1:3" x14ac:dyDescent="0.35">
      <c r="A200" s="130">
        <v>197</v>
      </c>
      <c r="B200" s="121" t="s">
        <v>372</v>
      </c>
      <c r="C200" s="121" t="s">
        <v>1561</v>
      </c>
    </row>
    <row r="201" spans="1:3" x14ac:dyDescent="0.35">
      <c r="A201" s="130">
        <v>198</v>
      </c>
      <c r="B201" s="121" t="s">
        <v>375</v>
      </c>
      <c r="C201" s="121" t="s">
        <v>1562</v>
      </c>
    </row>
    <row r="202" spans="1:3" x14ac:dyDescent="0.35">
      <c r="A202" s="130">
        <v>199</v>
      </c>
      <c r="B202" s="118" t="s">
        <v>2510</v>
      </c>
      <c r="C202" s="118" t="s">
        <v>1563</v>
      </c>
    </row>
    <row r="203" spans="1:3" x14ac:dyDescent="0.35">
      <c r="A203" s="130">
        <v>200</v>
      </c>
      <c r="B203" s="119" t="s">
        <v>377</v>
      </c>
      <c r="C203" s="119" t="s">
        <v>1564</v>
      </c>
    </row>
    <row r="204" spans="1:3" x14ac:dyDescent="0.35">
      <c r="A204" s="130">
        <v>201</v>
      </c>
      <c r="B204" s="119" t="s">
        <v>378</v>
      </c>
      <c r="C204" s="119" t="s">
        <v>1565</v>
      </c>
    </row>
    <row r="205" spans="1:3" x14ac:dyDescent="0.35">
      <c r="A205" s="130">
        <v>202</v>
      </c>
      <c r="B205" s="118" t="s">
        <v>2511</v>
      </c>
      <c r="C205" s="118" t="s">
        <v>1566</v>
      </c>
    </row>
    <row r="206" spans="1:3" x14ac:dyDescent="0.35">
      <c r="A206" s="130">
        <v>203</v>
      </c>
      <c r="B206" s="121" t="s">
        <v>384</v>
      </c>
      <c r="C206" s="121" t="s">
        <v>1567</v>
      </c>
    </row>
    <row r="207" spans="1:3" x14ac:dyDescent="0.35">
      <c r="A207" s="130">
        <v>204</v>
      </c>
      <c r="B207" s="121" t="s">
        <v>383</v>
      </c>
      <c r="C207" s="121" t="s">
        <v>1568</v>
      </c>
    </row>
    <row r="208" spans="1:3" x14ac:dyDescent="0.35">
      <c r="A208" s="130">
        <v>205</v>
      </c>
      <c r="B208" s="121" t="s">
        <v>385</v>
      </c>
      <c r="C208" s="121" t="s">
        <v>1569</v>
      </c>
    </row>
    <row r="209" spans="1:3" x14ac:dyDescent="0.35">
      <c r="A209" s="130">
        <v>206</v>
      </c>
      <c r="B209" s="118" t="s">
        <v>386</v>
      </c>
      <c r="C209" s="118" t="s">
        <v>1570</v>
      </c>
    </row>
    <row r="210" spans="1:3" x14ac:dyDescent="0.35">
      <c r="A210" s="130">
        <v>207</v>
      </c>
      <c r="B210" s="118" t="s">
        <v>387</v>
      </c>
      <c r="C210" s="118" t="s">
        <v>1571</v>
      </c>
    </row>
    <row r="211" spans="1:3" x14ac:dyDescent="0.35">
      <c r="A211" s="130">
        <v>208</v>
      </c>
      <c r="B211" s="118" t="s">
        <v>390</v>
      </c>
      <c r="C211" s="118" t="s">
        <v>1572</v>
      </c>
    </row>
    <row r="212" spans="1:3" x14ac:dyDescent="0.35">
      <c r="A212" s="130">
        <v>209</v>
      </c>
      <c r="B212" s="119" t="s">
        <v>388</v>
      </c>
      <c r="C212" s="119" t="s">
        <v>1573</v>
      </c>
    </row>
    <row r="213" spans="1:3" ht="25" x14ac:dyDescent="0.35">
      <c r="A213" s="130">
        <v>210</v>
      </c>
      <c r="B213" s="119" t="s">
        <v>389</v>
      </c>
      <c r="C213" s="119" t="s">
        <v>1574</v>
      </c>
    </row>
    <row r="214" spans="1:3" x14ac:dyDescent="0.35">
      <c r="A214" s="130">
        <v>211</v>
      </c>
      <c r="B214" s="116" t="s">
        <v>184</v>
      </c>
      <c r="C214" s="116" t="s">
        <v>1575</v>
      </c>
    </row>
    <row r="215" spans="1:3" x14ac:dyDescent="0.35">
      <c r="A215" s="130">
        <v>212</v>
      </c>
      <c r="B215" s="116" t="s">
        <v>392</v>
      </c>
      <c r="C215" s="116" t="s">
        <v>1576</v>
      </c>
    </row>
    <row r="216" spans="1:3" x14ac:dyDescent="0.35">
      <c r="A216" s="130">
        <v>213</v>
      </c>
      <c r="B216" s="116" t="s">
        <v>391</v>
      </c>
      <c r="C216" s="116" t="s">
        <v>1577</v>
      </c>
    </row>
    <row r="217" spans="1:3" x14ac:dyDescent="0.35">
      <c r="A217" s="130">
        <v>214</v>
      </c>
      <c r="B217" s="116" t="s">
        <v>1724</v>
      </c>
      <c r="C217" s="116" t="s">
        <v>1727</v>
      </c>
    </row>
    <row r="218" spans="1:3" ht="29" x14ac:dyDescent="0.35">
      <c r="A218" s="130">
        <v>215</v>
      </c>
      <c r="B218" s="116" t="s">
        <v>1310</v>
      </c>
      <c r="C218" s="116" t="s">
        <v>1578</v>
      </c>
    </row>
    <row r="219" spans="1:3" ht="43.5" x14ac:dyDescent="0.35">
      <c r="A219" s="130">
        <v>216</v>
      </c>
      <c r="B219" s="116" t="s">
        <v>1311</v>
      </c>
      <c r="C219" s="116" t="s">
        <v>1656</v>
      </c>
    </row>
    <row r="220" spans="1:3" ht="43.5" x14ac:dyDescent="0.35">
      <c r="A220" s="130">
        <v>217</v>
      </c>
      <c r="B220" s="116" t="s">
        <v>394</v>
      </c>
      <c r="C220" s="116" t="s">
        <v>1657</v>
      </c>
    </row>
    <row r="221" spans="1:3" ht="29" x14ac:dyDescent="0.35">
      <c r="A221" s="130">
        <v>218</v>
      </c>
      <c r="B221" s="116" t="s">
        <v>393</v>
      </c>
      <c r="C221" s="116" t="s">
        <v>1579</v>
      </c>
    </row>
    <row r="222" spans="1:3" ht="29" x14ac:dyDescent="0.35">
      <c r="A222" s="130">
        <v>219</v>
      </c>
      <c r="B222" s="116" t="s">
        <v>103</v>
      </c>
      <c r="C222" s="116" t="s">
        <v>1658</v>
      </c>
    </row>
    <row r="223" spans="1:3" ht="43.5" x14ac:dyDescent="0.35">
      <c r="A223" s="130">
        <v>220</v>
      </c>
      <c r="B223" s="116" t="s">
        <v>104</v>
      </c>
      <c r="C223" s="116" t="s">
        <v>1659</v>
      </c>
    </row>
    <row r="224" spans="1:3" ht="29" x14ac:dyDescent="0.35">
      <c r="A224" s="130">
        <v>221</v>
      </c>
      <c r="B224" s="116" t="s">
        <v>397</v>
      </c>
      <c r="C224" s="116" t="s">
        <v>1580</v>
      </c>
    </row>
    <row r="225" spans="1:3" ht="29" x14ac:dyDescent="0.35">
      <c r="A225" s="130">
        <v>222</v>
      </c>
      <c r="B225" s="116" t="s">
        <v>105</v>
      </c>
      <c r="C225" s="116" t="s">
        <v>1660</v>
      </c>
    </row>
    <row r="226" spans="1:3" ht="29" x14ac:dyDescent="0.35">
      <c r="A226" s="130">
        <v>223</v>
      </c>
      <c r="B226" s="116" t="s">
        <v>106</v>
      </c>
      <c r="C226" s="116" t="s">
        <v>1661</v>
      </c>
    </row>
    <row r="227" spans="1:3" x14ac:dyDescent="0.35">
      <c r="A227" s="130">
        <v>224</v>
      </c>
      <c r="B227" s="116" t="s">
        <v>185</v>
      </c>
      <c r="C227" s="116" t="s">
        <v>1581</v>
      </c>
    </row>
    <row r="228" spans="1:3" x14ac:dyDescent="0.35">
      <c r="A228" s="130">
        <v>225</v>
      </c>
      <c r="B228" s="116" t="s">
        <v>398</v>
      </c>
      <c r="C228" s="116" t="s">
        <v>1582</v>
      </c>
    </row>
    <row r="229" spans="1:3" x14ac:dyDescent="0.35">
      <c r="A229" s="130">
        <v>226</v>
      </c>
      <c r="B229" s="116" t="s">
        <v>399</v>
      </c>
      <c r="C229" s="116" t="s">
        <v>1583</v>
      </c>
    </row>
    <row r="230" spans="1:3" x14ac:dyDescent="0.35">
      <c r="A230" s="130">
        <v>227</v>
      </c>
      <c r="B230" s="116" t="s">
        <v>400</v>
      </c>
      <c r="C230" s="116" t="s">
        <v>1584</v>
      </c>
    </row>
    <row r="231" spans="1:3" x14ac:dyDescent="0.35">
      <c r="A231" s="130">
        <v>228</v>
      </c>
      <c r="B231" s="116" t="s">
        <v>401</v>
      </c>
      <c r="C231" s="116" t="s">
        <v>1585</v>
      </c>
    </row>
    <row r="232" spans="1:3" x14ac:dyDescent="0.35">
      <c r="A232" s="130">
        <v>229</v>
      </c>
      <c r="B232" s="116" t="s">
        <v>402</v>
      </c>
      <c r="C232" s="116" t="s">
        <v>1586</v>
      </c>
    </row>
    <row r="233" spans="1:3" x14ac:dyDescent="0.35">
      <c r="A233" s="130">
        <v>230</v>
      </c>
      <c r="B233" s="116" t="s">
        <v>403</v>
      </c>
      <c r="C233" s="116" t="s">
        <v>1587</v>
      </c>
    </row>
    <row r="234" spans="1:3" x14ac:dyDescent="0.35">
      <c r="A234" s="130">
        <v>231</v>
      </c>
      <c r="B234" s="116" t="s">
        <v>404</v>
      </c>
      <c r="C234" s="116" t="s">
        <v>1588</v>
      </c>
    </row>
    <row r="235" spans="1:3" x14ac:dyDescent="0.35">
      <c r="A235" s="130">
        <v>232</v>
      </c>
      <c r="B235" s="116" t="s">
        <v>399</v>
      </c>
      <c r="C235" s="116" t="s">
        <v>1583</v>
      </c>
    </row>
    <row r="236" spans="1:3" x14ac:dyDescent="0.35">
      <c r="A236" s="130">
        <v>233</v>
      </c>
      <c r="B236" s="116" t="s">
        <v>400</v>
      </c>
      <c r="C236" s="116" t="s">
        <v>1584</v>
      </c>
    </row>
    <row r="237" spans="1:3" x14ac:dyDescent="0.35">
      <c r="A237" s="130">
        <v>234</v>
      </c>
      <c r="B237" s="116" t="s">
        <v>401</v>
      </c>
      <c r="C237" s="116" t="s">
        <v>1585</v>
      </c>
    </row>
    <row r="238" spans="1:3" x14ac:dyDescent="0.35">
      <c r="A238" s="130">
        <v>235</v>
      </c>
      <c r="B238" s="116" t="s">
        <v>402</v>
      </c>
      <c r="C238" s="116" t="s">
        <v>1586</v>
      </c>
    </row>
    <row r="239" spans="1:3" x14ac:dyDescent="0.35">
      <c r="A239" s="130">
        <v>236</v>
      </c>
      <c r="B239" s="116" t="s">
        <v>405</v>
      </c>
      <c r="C239" s="116" t="s">
        <v>1589</v>
      </c>
    </row>
    <row r="240" spans="1:3" x14ac:dyDescent="0.35">
      <c r="A240" s="130">
        <v>237</v>
      </c>
      <c r="B240" s="116" t="s">
        <v>406</v>
      </c>
      <c r="C240" s="116" t="s">
        <v>1590</v>
      </c>
    </row>
    <row r="241" spans="1:3" x14ac:dyDescent="0.35">
      <c r="A241" s="130">
        <v>238</v>
      </c>
      <c r="B241" s="116" t="s">
        <v>399</v>
      </c>
      <c r="C241" s="116" t="s">
        <v>1583</v>
      </c>
    </row>
    <row r="242" spans="1:3" x14ac:dyDescent="0.35">
      <c r="A242" s="130">
        <v>239</v>
      </c>
      <c r="B242" s="116" t="s">
        <v>400</v>
      </c>
      <c r="C242" s="116" t="s">
        <v>1584</v>
      </c>
    </row>
    <row r="243" spans="1:3" x14ac:dyDescent="0.35">
      <c r="A243" s="130">
        <v>240</v>
      </c>
      <c r="B243" s="116" t="s">
        <v>402</v>
      </c>
      <c r="C243" s="116" t="s">
        <v>1586</v>
      </c>
    </row>
    <row r="244" spans="1:3" x14ac:dyDescent="0.35">
      <c r="A244" s="130">
        <v>241</v>
      </c>
      <c r="B244" s="116" t="s">
        <v>407</v>
      </c>
      <c r="C244" s="116" t="s">
        <v>1591</v>
      </c>
    </row>
    <row r="245" spans="1:3" x14ac:dyDescent="0.35">
      <c r="A245" s="130">
        <v>242</v>
      </c>
      <c r="B245" s="116" t="s">
        <v>408</v>
      </c>
      <c r="C245" s="116" t="s">
        <v>1592</v>
      </c>
    </row>
    <row r="246" spans="1:3" x14ac:dyDescent="0.35">
      <c r="A246" s="130">
        <v>243</v>
      </c>
      <c r="B246" s="116" t="s">
        <v>409</v>
      </c>
      <c r="C246" s="116" t="s">
        <v>1593</v>
      </c>
    </row>
    <row r="247" spans="1:3" x14ac:dyDescent="0.35">
      <c r="A247" s="130">
        <v>244</v>
      </c>
      <c r="B247" s="116" t="s">
        <v>410</v>
      </c>
      <c r="C247" s="116" t="s">
        <v>1594</v>
      </c>
    </row>
    <row r="248" spans="1:3" x14ac:dyDescent="0.35">
      <c r="A248" s="130">
        <v>245</v>
      </c>
      <c r="B248" s="116" t="s">
        <v>411</v>
      </c>
      <c r="C248" s="116" t="s">
        <v>1595</v>
      </c>
    </row>
    <row r="249" spans="1:3" x14ac:dyDescent="0.35">
      <c r="A249" s="130">
        <v>246</v>
      </c>
      <c r="B249" s="116" t="s">
        <v>412</v>
      </c>
      <c r="C249" s="116" t="s">
        <v>1596</v>
      </c>
    </row>
    <row r="250" spans="1:3" x14ac:dyDescent="0.35">
      <c r="A250" s="130">
        <v>247</v>
      </c>
      <c r="B250" s="116" t="s">
        <v>413</v>
      </c>
      <c r="C250" s="116" t="s">
        <v>1584</v>
      </c>
    </row>
    <row r="251" spans="1:3" x14ac:dyDescent="0.35">
      <c r="A251" s="130">
        <v>248</v>
      </c>
      <c r="B251" s="116" t="s">
        <v>399</v>
      </c>
      <c r="C251" s="116" t="s">
        <v>1583</v>
      </c>
    </row>
    <row r="252" spans="1:3" x14ac:dyDescent="0.35">
      <c r="A252" s="130">
        <v>249</v>
      </c>
      <c r="B252" s="116" t="s">
        <v>414</v>
      </c>
      <c r="C252" s="116" t="s">
        <v>1586</v>
      </c>
    </row>
    <row r="253" spans="1:3" ht="29" x14ac:dyDescent="0.35">
      <c r="A253" s="130">
        <v>250</v>
      </c>
      <c r="B253" s="116" t="s">
        <v>415</v>
      </c>
      <c r="C253" s="116" t="s">
        <v>1597</v>
      </c>
    </row>
    <row r="254" spans="1:3" ht="43.5" x14ac:dyDescent="0.35">
      <c r="A254" s="130">
        <v>251</v>
      </c>
      <c r="B254" s="116" t="s">
        <v>107</v>
      </c>
      <c r="C254" s="116" t="s">
        <v>1662</v>
      </c>
    </row>
    <row r="255" spans="1:3" x14ac:dyDescent="0.35">
      <c r="A255" s="130">
        <v>252</v>
      </c>
      <c r="B255" s="116" t="s">
        <v>1772</v>
      </c>
      <c r="C255" s="116" t="s">
        <v>1797</v>
      </c>
    </row>
    <row r="256" spans="1:3" x14ac:dyDescent="0.35">
      <c r="A256" s="130">
        <v>253</v>
      </c>
      <c r="B256" s="116" t="s">
        <v>186</v>
      </c>
      <c r="C256" s="116" t="s">
        <v>1598</v>
      </c>
    </row>
    <row r="257" spans="1:3" x14ac:dyDescent="0.35">
      <c r="A257" s="130">
        <v>254</v>
      </c>
      <c r="B257" s="116" t="s">
        <v>416</v>
      </c>
      <c r="C257" s="116" t="s">
        <v>1599</v>
      </c>
    </row>
    <row r="258" spans="1:3" x14ac:dyDescent="0.35">
      <c r="A258" s="130">
        <v>255</v>
      </c>
      <c r="B258" s="116" t="s">
        <v>417</v>
      </c>
      <c r="C258" s="116" t="s">
        <v>1600</v>
      </c>
    </row>
    <row r="259" spans="1:3" x14ac:dyDescent="0.35">
      <c r="A259" s="130">
        <v>256</v>
      </c>
      <c r="B259" s="116" t="s">
        <v>418</v>
      </c>
      <c r="C259" s="116" t="s">
        <v>1601</v>
      </c>
    </row>
    <row r="260" spans="1:3" x14ac:dyDescent="0.35">
      <c r="A260" s="130">
        <v>257</v>
      </c>
      <c r="B260" s="116" t="s">
        <v>419</v>
      </c>
      <c r="C260" s="116" t="s">
        <v>1602</v>
      </c>
    </row>
    <row r="261" spans="1:3" x14ac:dyDescent="0.35">
      <c r="A261" s="130">
        <v>258</v>
      </c>
      <c r="B261" s="116" t="s">
        <v>420</v>
      </c>
      <c r="C261" s="116" t="s">
        <v>1603</v>
      </c>
    </row>
    <row r="262" spans="1:3" x14ac:dyDescent="0.35">
      <c r="A262" s="130">
        <v>259</v>
      </c>
      <c r="B262" s="116" t="s">
        <v>421</v>
      </c>
      <c r="C262" s="116" t="s">
        <v>1604</v>
      </c>
    </row>
    <row r="263" spans="1:3" x14ac:dyDescent="0.35">
      <c r="A263" s="130">
        <v>260</v>
      </c>
      <c r="B263" s="116" t="s">
        <v>422</v>
      </c>
      <c r="C263" s="116" t="s">
        <v>1605</v>
      </c>
    </row>
    <row r="264" spans="1:3" x14ac:dyDescent="0.35">
      <c r="A264" s="130">
        <v>261</v>
      </c>
      <c r="B264" s="116" t="s">
        <v>423</v>
      </c>
      <c r="C264" s="116" t="s">
        <v>1606</v>
      </c>
    </row>
    <row r="265" spans="1:3" x14ac:dyDescent="0.35">
      <c r="A265" s="130">
        <v>262</v>
      </c>
      <c r="B265" s="116" t="s">
        <v>424</v>
      </c>
      <c r="C265" s="116" t="s">
        <v>1607</v>
      </c>
    </row>
    <row r="266" spans="1:3" x14ac:dyDescent="0.35">
      <c r="A266" s="130">
        <v>263</v>
      </c>
      <c r="B266" s="116" t="s">
        <v>425</v>
      </c>
      <c r="C266" s="116" t="s">
        <v>1608</v>
      </c>
    </row>
    <row r="267" spans="1:3" ht="29" x14ac:dyDescent="0.35">
      <c r="A267" s="130">
        <v>264</v>
      </c>
      <c r="B267" s="116" t="s">
        <v>426</v>
      </c>
      <c r="C267" s="116" t="s">
        <v>1609</v>
      </c>
    </row>
    <row r="268" spans="1:3" ht="29" x14ac:dyDescent="0.35">
      <c r="A268" s="130">
        <v>265</v>
      </c>
      <c r="B268" s="116" t="s">
        <v>427</v>
      </c>
      <c r="C268" s="116" t="s">
        <v>1610</v>
      </c>
    </row>
    <row r="269" spans="1:3" ht="43.5" x14ac:dyDescent="0.35">
      <c r="A269" s="130">
        <v>266</v>
      </c>
      <c r="B269" s="116" t="s">
        <v>428</v>
      </c>
      <c r="C269" s="116" t="s">
        <v>1611</v>
      </c>
    </row>
    <row r="270" spans="1:3" x14ac:dyDescent="0.35">
      <c r="A270" s="130">
        <v>267</v>
      </c>
      <c r="B270" s="116" t="s">
        <v>429</v>
      </c>
      <c r="C270" s="116" t="s">
        <v>1612</v>
      </c>
    </row>
    <row r="271" spans="1:3" ht="43.5" x14ac:dyDescent="0.35">
      <c r="A271" s="130">
        <v>268</v>
      </c>
      <c r="B271" s="116" t="s">
        <v>264</v>
      </c>
      <c r="C271" s="116" t="s">
        <v>1663</v>
      </c>
    </row>
    <row r="272" spans="1:3" ht="43.5" x14ac:dyDescent="0.35">
      <c r="A272" s="130">
        <v>269</v>
      </c>
      <c r="B272" s="116" t="s">
        <v>335</v>
      </c>
      <c r="C272" s="116" t="s">
        <v>1664</v>
      </c>
    </row>
    <row r="273" spans="1:3" ht="43.5" x14ac:dyDescent="0.35">
      <c r="A273" s="131">
        <v>270</v>
      </c>
      <c r="B273" s="117" t="s">
        <v>537</v>
      </c>
      <c r="C273" s="117" t="s">
        <v>1613</v>
      </c>
    </row>
    <row r="274" spans="1:3" x14ac:dyDescent="0.35">
      <c r="B274" s="57"/>
    </row>
    <row r="275" spans="1:3" ht="21" x14ac:dyDescent="0.35">
      <c r="A275" s="126" t="s">
        <v>2503</v>
      </c>
      <c r="B275" s="213"/>
      <c r="C275" s="127"/>
    </row>
    <row r="276" spans="1:3" x14ac:dyDescent="0.35">
      <c r="A276" s="192">
        <v>1</v>
      </c>
      <c r="B276" s="193" t="s">
        <v>456</v>
      </c>
      <c r="C276" s="194" t="s">
        <v>1327</v>
      </c>
    </row>
    <row r="277" spans="1:3" x14ac:dyDescent="0.35">
      <c r="A277" s="195">
        <v>2</v>
      </c>
      <c r="B277" s="196" t="s">
        <v>457</v>
      </c>
      <c r="C277" s="197" t="s">
        <v>1328</v>
      </c>
    </row>
    <row r="278" spans="1:3" x14ac:dyDescent="0.35">
      <c r="A278" s="195">
        <v>3</v>
      </c>
      <c r="B278" s="196" t="s">
        <v>458</v>
      </c>
      <c r="C278" s="197" t="s">
        <v>1329</v>
      </c>
    </row>
    <row r="279" spans="1:3" x14ac:dyDescent="0.35">
      <c r="A279" s="195">
        <v>4</v>
      </c>
      <c r="B279" s="196"/>
      <c r="C279" s="197"/>
    </row>
    <row r="280" spans="1:3" x14ac:dyDescent="0.35">
      <c r="A280" s="195">
        <v>5</v>
      </c>
      <c r="B280" s="196" t="s">
        <v>459</v>
      </c>
      <c r="C280" s="197" t="s">
        <v>1330</v>
      </c>
    </row>
    <row r="281" spans="1:3" x14ac:dyDescent="0.35">
      <c r="A281" s="195">
        <v>6</v>
      </c>
      <c r="B281" s="196" t="s">
        <v>460</v>
      </c>
      <c r="C281" s="197" t="s">
        <v>1331</v>
      </c>
    </row>
    <row r="282" spans="1:3" x14ac:dyDescent="0.35">
      <c r="A282" s="195">
        <v>7</v>
      </c>
      <c r="B282" s="196" t="s">
        <v>461</v>
      </c>
      <c r="C282" s="197" t="s">
        <v>1332</v>
      </c>
    </row>
    <row r="283" spans="1:3" x14ac:dyDescent="0.35">
      <c r="A283" s="195">
        <v>8</v>
      </c>
      <c r="B283" s="196" t="s">
        <v>462</v>
      </c>
      <c r="C283" s="197" t="s">
        <v>1333</v>
      </c>
    </row>
    <row r="284" spans="1:3" x14ac:dyDescent="0.35">
      <c r="A284" s="195">
        <v>9</v>
      </c>
      <c r="B284" s="196" t="s">
        <v>463</v>
      </c>
      <c r="C284" s="197" t="s">
        <v>1334</v>
      </c>
    </row>
    <row r="285" spans="1:3" x14ac:dyDescent="0.35">
      <c r="A285" s="195">
        <v>10</v>
      </c>
      <c r="B285" s="196"/>
      <c r="C285" s="197"/>
    </row>
    <row r="286" spans="1:3" x14ac:dyDescent="0.35">
      <c r="A286" s="195">
        <v>11</v>
      </c>
      <c r="B286" s="196" t="s">
        <v>464</v>
      </c>
      <c r="C286" s="197" t="s">
        <v>464</v>
      </c>
    </row>
    <row r="287" spans="1:3" x14ac:dyDescent="0.35">
      <c r="A287" s="195">
        <v>12</v>
      </c>
      <c r="B287" s="196" t="s">
        <v>466</v>
      </c>
      <c r="C287" s="197" t="s">
        <v>466</v>
      </c>
    </row>
    <row r="288" spans="1:3" x14ac:dyDescent="0.35">
      <c r="A288" s="195">
        <v>13</v>
      </c>
      <c r="B288" s="196" t="s">
        <v>467</v>
      </c>
      <c r="C288" s="197" t="s">
        <v>1335</v>
      </c>
    </row>
    <row r="289" spans="1:3" x14ac:dyDescent="0.35">
      <c r="A289" s="195">
        <v>14</v>
      </c>
      <c r="B289" s="196" t="s">
        <v>468</v>
      </c>
      <c r="C289" s="197" t="s">
        <v>1336</v>
      </c>
    </row>
    <row r="290" spans="1:3" x14ac:dyDescent="0.35">
      <c r="A290" s="195">
        <v>15</v>
      </c>
      <c r="B290" s="196" t="s">
        <v>465</v>
      </c>
      <c r="C290" s="197" t="s">
        <v>465</v>
      </c>
    </row>
    <row r="291" spans="1:3" x14ac:dyDescent="0.35">
      <c r="A291" s="195">
        <v>16</v>
      </c>
      <c r="B291" s="196"/>
      <c r="C291" s="197"/>
    </row>
    <row r="292" spans="1:3" x14ac:dyDescent="0.35">
      <c r="A292" s="195">
        <v>17</v>
      </c>
      <c r="B292" s="196" t="s">
        <v>115</v>
      </c>
      <c r="C292" s="197" t="s">
        <v>115</v>
      </c>
    </row>
    <row r="293" spans="1:3" x14ac:dyDescent="0.35">
      <c r="A293" s="195">
        <v>18</v>
      </c>
      <c r="B293" s="196" t="s">
        <v>116</v>
      </c>
      <c r="C293" s="197" t="s">
        <v>1337</v>
      </c>
    </row>
    <row r="294" spans="1:3" x14ac:dyDescent="0.35">
      <c r="A294" s="195">
        <v>19</v>
      </c>
      <c r="B294" s="196"/>
      <c r="C294" s="197"/>
    </row>
    <row r="295" spans="1:3" x14ac:dyDescent="0.35">
      <c r="A295" s="195">
        <v>20</v>
      </c>
      <c r="B295" s="196" t="s">
        <v>130</v>
      </c>
      <c r="C295" s="197" t="s">
        <v>791</v>
      </c>
    </row>
    <row r="296" spans="1:3" x14ac:dyDescent="0.35">
      <c r="A296" s="195">
        <v>21</v>
      </c>
      <c r="B296" s="196" t="s">
        <v>131</v>
      </c>
      <c r="C296" s="197" t="s">
        <v>1338</v>
      </c>
    </row>
    <row r="297" spans="1:3" x14ac:dyDescent="0.35">
      <c r="A297" s="195">
        <v>22</v>
      </c>
      <c r="B297" s="196" t="s">
        <v>211</v>
      </c>
      <c r="C297" s="197" t="s">
        <v>1339</v>
      </c>
    </row>
    <row r="298" spans="1:3" x14ac:dyDescent="0.35">
      <c r="A298" s="195">
        <v>23</v>
      </c>
      <c r="B298" s="196" t="s">
        <v>213</v>
      </c>
      <c r="C298" s="197" t="s">
        <v>1340</v>
      </c>
    </row>
    <row r="299" spans="1:3" x14ac:dyDescent="0.35">
      <c r="A299" s="195">
        <v>24</v>
      </c>
      <c r="B299" s="196" t="s">
        <v>214</v>
      </c>
      <c r="C299" s="197" t="s">
        <v>1341</v>
      </c>
    </row>
    <row r="300" spans="1:3" x14ac:dyDescent="0.35">
      <c r="A300" s="195">
        <v>25</v>
      </c>
      <c r="B300" s="196" t="s">
        <v>215</v>
      </c>
      <c r="C300" s="197" t="s">
        <v>1342</v>
      </c>
    </row>
    <row r="301" spans="1:3" x14ac:dyDescent="0.35">
      <c r="A301" s="195">
        <v>26</v>
      </c>
      <c r="B301" s="196"/>
      <c r="C301" s="197"/>
    </row>
    <row r="302" spans="1:3" x14ac:dyDescent="0.35">
      <c r="A302" s="195">
        <v>27</v>
      </c>
      <c r="B302" s="196" t="s">
        <v>217</v>
      </c>
      <c r="C302" s="197" t="s">
        <v>217</v>
      </c>
    </row>
    <row r="303" spans="1:3" x14ac:dyDescent="0.35">
      <c r="A303" s="195">
        <v>28</v>
      </c>
      <c r="B303" s="196" t="s">
        <v>218</v>
      </c>
      <c r="C303" s="197" t="s">
        <v>218</v>
      </c>
    </row>
    <row r="304" spans="1:3" x14ac:dyDescent="0.35">
      <c r="A304" s="195">
        <v>29</v>
      </c>
      <c r="B304" s="196" t="s">
        <v>216</v>
      </c>
      <c r="C304" s="197" t="s">
        <v>1343</v>
      </c>
    </row>
    <row r="305" spans="1:3" x14ac:dyDescent="0.35">
      <c r="A305" s="195">
        <v>30</v>
      </c>
      <c r="B305" s="196"/>
      <c r="C305" s="197"/>
    </row>
    <row r="306" spans="1:3" x14ac:dyDescent="0.35">
      <c r="A306" s="195">
        <v>31</v>
      </c>
      <c r="B306" s="196" t="s">
        <v>219</v>
      </c>
      <c r="C306" s="197" t="s">
        <v>791</v>
      </c>
    </row>
    <row r="307" spans="1:3" x14ac:dyDescent="0.35">
      <c r="A307" s="195">
        <v>32</v>
      </c>
      <c r="B307" s="196" t="s">
        <v>220</v>
      </c>
      <c r="C307" s="197" t="s">
        <v>1344</v>
      </c>
    </row>
    <row r="308" spans="1:3" x14ac:dyDescent="0.35">
      <c r="A308" s="195">
        <v>33</v>
      </c>
      <c r="B308" s="196" t="s">
        <v>221</v>
      </c>
      <c r="C308" s="197" t="s">
        <v>1345</v>
      </c>
    </row>
    <row r="309" spans="1:3" x14ac:dyDescent="0.35">
      <c r="A309" s="195">
        <v>34</v>
      </c>
      <c r="B309" s="196"/>
      <c r="C309" s="197"/>
    </row>
    <row r="310" spans="1:3" x14ac:dyDescent="0.35">
      <c r="A310" s="195">
        <v>35</v>
      </c>
      <c r="B310" s="196" t="s">
        <v>223</v>
      </c>
      <c r="C310" s="197" t="s">
        <v>1346</v>
      </c>
    </row>
    <row r="311" spans="1:3" x14ac:dyDescent="0.35">
      <c r="A311" s="195">
        <v>36</v>
      </c>
      <c r="B311" s="196" t="s">
        <v>224</v>
      </c>
      <c r="C311" s="197" t="s">
        <v>1347</v>
      </c>
    </row>
    <row r="312" spans="1:3" x14ac:dyDescent="0.35">
      <c r="A312" s="195">
        <v>37</v>
      </c>
      <c r="B312" s="196"/>
      <c r="C312" s="197"/>
    </row>
    <row r="313" spans="1:3" x14ac:dyDescent="0.35">
      <c r="A313" s="195">
        <v>38</v>
      </c>
      <c r="B313" s="196" t="s">
        <v>225</v>
      </c>
      <c r="C313" s="197" t="s">
        <v>225</v>
      </c>
    </row>
    <row r="314" spans="1:3" x14ac:dyDescent="0.35">
      <c r="A314" s="195">
        <v>39</v>
      </c>
      <c r="B314" s="196" t="s">
        <v>226</v>
      </c>
      <c r="C314" s="197" t="s">
        <v>174</v>
      </c>
    </row>
    <row r="315" spans="1:3" x14ac:dyDescent="0.35">
      <c r="A315" s="195">
        <v>40</v>
      </c>
      <c r="B315" s="196" t="s">
        <v>227</v>
      </c>
      <c r="C315" s="197" t="s">
        <v>227</v>
      </c>
    </row>
    <row r="316" spans="1:3" x14ac:dyDescent="0.35">
      <c r="A316" s="195">
        <v>41</v>
      </c>
      <c r="B316" s="196"/>
      <c r="C316" s="197"/>
    </row>
    <row r="317" spans="1:3" x14ac:dyDescent="0.35">
      <c r="A317" s="195">
        <v>42</v>
      </c>
      <c r="B317" s="196" t="s">
        <v>228</v>
      </c>
      <c r="C317" s="197" t="s">
        <v>1348</v>
      </c>
    </row>
    <row r="318" spans="1:3" x14ac:dyDescent="0.35">
      <c r="A318" s="195">
        <v>43</v>
      </c>
      <c r="B318" s="196" t="s">
        <v>229</v>
      </c>
      <c r="C318" s="197" t="s">
        <v>1349</v>
      </c>
    </row>
    <row r="319" spans="1:3" x14ac:dyDescent="0.35">
      <c r="A319" s="195">
        <v>44</v>
      </c>
      <c r="B319" s="196" t="s">
        <v>230</v>
      </c>
      <c r="C319" s="197" t="s">
        <v>1350</v>
      </c>
    </row>
    <row r="320" spans="1:3" x14ac:dyDescent="0.35">
      <c r="A320" s="195">
        <v>45</v>
      </c>
      <c r="B320" s="196" t="s">
        <v>231</v>
      </c>
      <c r="C320" s="197" t="s">
        <v>1351</v>
      </c>
    </row>
    <row r="321" spans="1:3" x14ac:dyDescent="0.35">
      <c r="A321" s="195">
        <v>46</v>
      </c>
      <c r="B321" s="196"/>
      <c r="C321" s="197"/>
    </row>
    <row r="322" spans="1:3" x14ac:dyDescent="0.35">
      <c r="A322" s="195">
        <v>47</v>
      </c>
      <c r="B322" s="196" t="s">
        <v>149</v>
      </c>
      <c r="C322" s="197" t="s">
        <v>1352</v>
      </c>
    </row>
    <row r="323" spans="1:3" x14ac:dyDescent="0.35">
      <c r="A323" s="195">
        <v>48</v>
      </c>
      <c r="B323" s="196" t="s">
        <v>150</v>
      </c>
      <c r="C323" s="197" t="s">
        <v>1353</v>
      </c>
    </row>
    <row r="324" spans="1:3" x14ac:dyDescent="0.35">
      <c r="A324" s="195">
        <v>49</v>
      </c>
      <c r="B324" s="196" t="s">
        <v>151</v>
      </c>
      <c r="C324" s="197" t="s">
        <v>1354</v>
      </c>
    </row>
    <row r="325" spans="1:3" x14ac:dyDescent="0.35">
      <c r="A325" s="195">
        <v>50</v>
      </c>
      <c r="B325" s="196"/>
      <c r="C325" s="197"/>
    </row>
    <row r="326" spans="1:3" x14ac:dyDescent="0.35">
      <c r="A326" s="195">
        <v>51</v>
      </c>
      <c r="B326" s="196" t="s">
        <v>234</v>
      </c>
      <c r="C326" s="197" t="s">
        <v>1355</v>
      </c>
    </row>
    <row r="327" spans="1:3" x14ac:dyDescent="0.35">
      <c r="A327" s="195">
        <v>52</v>
      </c>
      <c r="B327" s="196" t="s">
        <v>233</v>
      </c>
      <c r="C327" s="197" t="s">
        <v>1356</v>
      </c>
    </row>
    <row r="328" spans="1:3" x14ac:dyDescent="0.35">
      <c r="A328" s="195">
        <v>53</v>
      </c>
      <c r="B328" s="196"/>
      <c r="C328" s="197"/>
    </row>
    <row r="329" spans="1:3" x14ac:dyDescent="0.35">
      <c r="A329" s="195">
        <v>54</v>
      </c>
      <c r="B329" s="196" t="s">
        <v>238</v>
      </c>
      <c r="C329" s="197" t="s">
        <v>238</v>
      </c>
    </row>
    <row r="330" spans="1:3" x14ac:dyDescent="0.35">
      <c r="A330" s="195">
        <v>55</v>
      </c>
      <c r="B330" s="196" t="s">
        <v>239</v>
      </c>
      <c r="C330" s="197" t="s">
        <v>239</v>
      </c>
    </row>
    <row r="331" spans="1:3" x14ac:dyDescent="0.35">
      <c r="A331" s="195">
        <v>56</v>
      </c>
      <c r="B331" s="196" t="s">
        <v>240</v>
      </c>
      <c r="C331" s="197" t="s">
        <v>240</v>
      </c>
    </row>
    <row r="332" spans="1:3" x14ac:dyDescent="0.35">
      <c r="A332" s="195">
        <v>57</v>
      </c>
      <c r="B332" s="196" t="s">
        <v>241</v>
      </c>
      <c r="C332" s="197" t="s">
        <v>241</v>
      </c>
    </row>
    <row r="333" spans="1:3" x14ac:dyDescent="0.35">
      <c r="A333" s="195">
        <v>58</v>
      </c>
      <c r="B333" s="196" t="s">
        <v>242</v>
      </c>
      <c r="C333" s="197" t="s">
        <v>242</v>
      </c>
    </row>
    <row r="334" spans="1:3" x14ac:dyDescent="0.35">
      <c r="A334" s="195">
        <v>59</v>
      </c>
      <c r="B334" s="196" t="s">
        <v>243</v>
      </c>
      <c r="C334" s="197" t="s">
        <v>1357</v>
      </c>
    </row>
    <row r="335" spans="1:3" x14ac:dyDescent="0.35">
      <c r="A335" s="195">
        <v>60</v>
      </c>
      <c r="B335" s="196"/>
      <c r="C335" s="197"/>
    </row>
    <row r="336" spans="1:3" x14ac:dyDescent="0.35">
      <c r="A336" s="195">
        <v>61</v>
      </c>
      <c r="B336" s="196" t="s">
        <v>244</v>
      </c>
      <c r="C336" s="197" t="s">
        <v>1713</v>
      </c>
    </row>
    <row r="337" spans="1:3" x14ac:dyDescent="0.35">
      <c r="A337" s="195">
        <v>62</v>
      </c>
      <c r="B337" s="196" t="s">
        <v>245</v>
      </c>
      <c r="C337" s="197" t="s">
        <v>1358</v>
      </c>
    </row>
    <row r="338" spans="1:3" x14ac:dyDescent="0.35">
      <c r="A338" s="195">
        <v>63</v>
      </c>
      <c r="B338" s="196" t="s">
        <v>246</v>
      </c>
      <c r="C338" s="197" t="s">
        <v>1359</v>
      </c>
    </row>
    <row r="339" spans="1:3" x14ac:dyDescent="0.35">
      <c r="A339" s="195">
        <v>64</v>
      </c>
      <c r="B339" s="196" t="s">
        <v>247</v>
      </c>
      <c r="C339" s="197" t="s">
        <v>1360</v>
      </c>
    </row>
    <row r="340" spans="1:3" x14ac:dyDescent="0.35">
      <c r="A340" s="195">
        <v>65</v>
      </c>
      <c r="B340" s="196"/>
      <c r="C340" s="197"/>
    </row>
    <row r="341" spans="1:3" x14ac:dyDescent="0.35">
      <c r="A341" s="195">
        <v>66</v>
      </c>
      <c r="B341" s="196" t="s">
        <v>163</v>
      </c>
      <c r="C341" s="197" t="s">
        <v>1346</v>
      </c>
    </row>
    <row r="342" spans="1:3" x14ac:dyDescent="0.35">
      <c r="A342" s="195">
        <v>67</v>
      </c>
      <c r="B342" s="196" t="s">
        <v>164</v>
      </c>
      <c r="C342" s="197" t="s">
        <v>1361</v>
      </c>
    </row>
    <row r="343" spans="1:3" x14ac:dyDescent="0.35">
      <c r="A343" s="195">
        <v>68</v>
      </c>
      <c r="B343" s="196" t="s">
        <v>165</v>
      </c>
      <c r="C343" s="197" t="s">
        <v>1362</v>
      </c>
    </row>
    <row r="344" spans="1:3" x14ac:dyDescent="0.35">
      <c r="A344" s="195">
        <v>69</v>
      </c>
      <c r="B344" s="196"/>
      <c r="C344" s="197"/>
    </row>
    <row r="345" spans="1:3" x14ac:dyDescent="0.35">
      <c r="A345" s="195">
        <v>70</v>
      </c>
      <c r="B345" s="196" t="s">
        <v>187</v>
      </c>
      <c r="C345" s="197" t="s">
        <v>187</v>
      </c>
    </row>
    <row r="346" spans="1:3" x14ac:dyDescent="0.35">
      <c r="A346" s="195">
        <v>71</v>
      </c>
      <c r="B346" s="196" t="s">
        <v>190</v>
      </c>
      <c r="C346" s="197" t="s">
        <v>190</v>
      </c>
    </row>
    <row r="347" spans="1:3" x14ac:dyDescent="0.35">
      <c r="A347" s="195">
        <v>72</v>
      </c>
      <c r="B347" s="196" t="s">
        <v>188</v>
      </c>
      <c r="C347" s="197" t="s">
        <v>188</v>
      </c>
    </row>
    <row r="348" spans="1:3" x14ac:dyDescent="0.35">
      <c r="A348" s="195">
        <v>73</v>
      </c>
      <c r="B348" s="196" t="s">
        <v>189</v>
      </c>
      <c r="C348" s="197" t="s">
        <v>189</v>
      </c>
    </row>
    <row r="349" spans="1:3" x14ac:dyDescent="0.35">
      <c r="A349" s="195">
        <v>74</v>
      </c>
      <c r="B349" s="196"/>
      <c r="C349" s="197"/>
    </row>
    <row r="350" spans="1:3" x14ac:dyDescent="0.35">
      <c r="A350" s="195">
        <v>75</v>
      </c>
      <c r="B350" s="196" t="s">
        <v>191</v>
      </c>
      <c r="C350" s="197" t="s">
        <v>1363</v>
      </c>
    </row>
    <row r="351" spans="1:3" x14ac:dyDescent="0.35">
      <c r="A351" s="195">
        <v>76</v>
      </c>
      <c r="B351" s="196" t="s">
        <v>192</v>
      </c>
      <c r="C351" s="197" t="s">
        <v>1364</v>
      </c>
    </row>
    <row r="352" spans="1:3" x14ac:dyDescent="0.35">
      <c r="A352" s="195">
        <v>77</v>
      </c>
      <c r="B352" s="196" t="s">
        <v>131</v>
      </c>
      <c r="C352" s="197" t="s">
        <v>1338</v>
      </c>
    </row>
    <row r="353" spans="1:3" x14ac:dyDescent="0.35">
      <c r="A353" s="195">
        <v>78</v>
      </c>
      <c r="B353" s="196"/>
      <c r="C353" s="197"/>
    </row>
    <row r="354" spans="1:3" x14ac:dyDescent="0.35">
      <c r="A354" s="195">
        <v>79</v>
      </c>
      <c r="B354" s="196" t="s">
        <v>195</v>
      </c>
      <c r="C354" s="197" t="s">
        <v>1365</v>
      </c>
    </row>
    <row r="355" spans="1:3" x14ac:dyDescent="0.35">
      <c r="A355" s="195">
        <v>80</v>
      </c>
      <c r="B355" s="196" t="s">
        <v>196</v>
      </c>
      <c r="C355" s="197" t="s">
        <v>1366</v>
      </c>
    </row>
    <row r="356" spans="1:3" x14ac:dyDescent="0.35">
      <c r="A356" s="195">
        <v>81</v>
      </c>
      <c r="B356" s="196" t="s">
        <v>131</v>
      </c>
      <c r="C356" s="197" t="s">
        <v>1338</v>
      </c>
    </row>
    <row r="357" spans="1:3" x14ac:dyDescent="0.35">
      <c r="A357" s="195">
        <v>82</v>
      </c>
      <c r="B357" s="196"/>
      <c r="C357" s="197"/>
    </row>
    <row r="358" spans="1:3" x14ac:dyDescent="0.35">
      <c r="A358" s="195">
        <v>83</v>
      </c>
      <c r="B358" s="196" t="s">
        <v>201</v>
      </c>
      <c r="C358" s="197" t="s">
        <v>1367</v>
      </c>
    </row>
    <row r="359" spans="1:3" x14ac:dyDescent="0.35">
      <c r="A359" s="195">
        <v>84</v>
      </c>
      <c r="B359" s="196" t="s">
        <v>202</v>
      </c>
      <c r="C359" s="197" t="s">
        <v>1368</v>
      </c>
    </row>
    <row r="360" spans="1:3" x14ac:dyDescent="0.35">
      <c r="A360" s="195">
        <v>85</v>
      </c>
      <c r="B360" s="196"/>
      <c r="C360" s="197"/>
    </row>
    <row r="361" spans="1:3" x14ac:dyDescent="0.35">
      <c r="A361" s="195">
        <v>86</v>
      </c>
      <c r="B361" s="196" t="s">
        <v>204</v>
      </c>
      <c r="C361" s="197" t="s">
        <v>1369</v>
      </c>
    </row>
    <row r="362" spans="1:3" x14ac:dyDescent="0.35">
      <c r="A362" s="195">
        <v>87</v>
      </c>
      <c r="B362" s="196" t="s">
        <v>205</v>
      </c>
      <c r="C362" s="197" t="s">
        <v>1370</v>
      </c>
    </row>
    <row r="363" spans="1:3" x14ac:dyDescent="0.35">
      <c r="A363" s="195">
        <v>88</v>
      </c>
      <c r="B363" s="196" t="s">
        <v>206</v>
      </c>
      <c r="C363" s="197" t="s">
        <v>1371</v>
      </c>
    </row>
    <row r="364" spans="1:3" x14ac:dyDescent="0.35">
      <c r="A364" s="195">
        <v>89</v>
      </c>
      <c r="B364" s="196"/>
      <c r="C364" s="197"/>
    </row>
    <row r="365" spans="1:3" x14ac:dyDescent="0.35">
      <c r="A365" s="195">
        <v>90</v>
      </c>
      <c r="B365" s="196" t="s">
        <v>207</v>
      </c>
      <c r="C365" s="197" t="s">
        <v>1372</v>
      </c>
    </row>
    <row r="366" spans="1:3" x14ac:dyDescent="0.35">
      <c r="A366" s="195">
        <v>91</v>
      </c>
      <c r="B366" s="196" t="s">
        <v>208</v>
      </c>
      <c r="C366" s="197" t="s">
        <v>1373</v>
      </c>
    </row>
    <row r="367" spans="1:3" x14ac:dyDescent="0.35">
      <c r="A367" s="195">
        <v>92</v>
      </c>
      <c r="B367" s="196" t="s">
        <v>200</v>
      </c>
      <c r="C367" s="197" t="s">
        <v>1374</v>
      </c>
    </row>
    <row r="368" spans="1:3" x14ac:dyDescent="0.35">
      <c r="A368" s="195">
        <v>93</v>
      </c>
      <c r="B368" s="198"/>
      <c r="C368" s="197"/>
    </row>
    <row r="369" spans="1:3" x14ac:dyDescent="0.35">
      <c r="A369" s="195">
        <v>94</v>
      </c>
      <c r="B369" s="196" t="s">
        <v>257</v>
      </c>
      <c r="C369" s="197" t="s">
        <v>257</v>
      </c>
    </row>
    <row r="370" spans="1:3" x14ac:dyDescent="0.35">
      <c r="A370" s="195">
        <v>95</v>
      </c>
      <c r="B370" s="196" t="s">
        <v>258</v>
      </c>
      <c r="C370" s="197" t="s">
        <v>258</v>
      </c>
    </row>
    <row r="371" spans="1:3" x14ac:dyDescent="0.35">
      <c r="A371" s="195">
        <v>96</v>
      </c>
      <c r="B371" s="196"/>
      <c r="C371" s="197"/>
    </row>
    <row r="372" spans="1:3" x14ac:dyDescent="0.35">
      <c r="A372" s="195">
        <v>97</v>
      </c>
      <c r="B372" s="196" t="s">
        <v>250</v>
      </c>
      <c r="C372" s="197" t="s">
        <v>250</v>
      </c>
    </row>
    <row r="373" spans="1:3" x14ac:dyDescent="0.35">
      <c r="A373" s="195">
        <v>98</v>
      </c>
      <c r="B373" s="196" t="s">
        <v>503</v>
      </c>
      <c r="C373" s="197" t="s">
        <v>503</v>
      </c>
    </row>
    <row r="374" spans="1:3" x14ac:dyDescent="0.35">
      <c r="A374" s="195">
        <v>99</v>
      </c>
      <c r="B374" s="196"/>
      <c r="C374" s="197"/>
    </row>
    <row r="375" spans="1:3" x14ac:dyDescent="0.35">
      <c r="A375" s="195">
        <v>100</v>
      </c>
      <c r="B375" s="196" t="s">
        <v>251</v>
      </c>
      <c r="C375" s="197" t="s">
        <v>1373</v>
      </c>
    </row>
    <row r="376" spans="1:3" x14ac:dyDescent="0.35">
      <c r="A376" s="195">
        <v>101</v>
      </c>
      <c r="B376" s="196" t="s">
        <v>252</v>
      </c>
      <c r="C376" s="197" t="s">
        <v>1375</v>
      </c>
    </row>
    <row r="377" spans="1:3" x14ac:dyDescent="0.35">
      <c r="A377" s="195">
        <v>102</v>
      </c>
      <c r="B377" s="196"/>
      <c r="C377" s="197"/>
    </row>
    <row r="378" spans="1:3" x14ac:dyDescent="0.35">
      <c r="A378" s="195">
        <v>103</v>
      </c>
      <c r="B378" s="196" t="s">
        <v>259</v>
      </c>
      <c r="C378" s="197" t="s">
        <v>1376</v>
      </c>
    </row>
    <row r="379" spans="1:3" x14ac:dyDescent="0.35">
      <c r="A379" s="195">
        <v>104</v>
      </c>
      <c r="B379" s="196" t="s">
        <v>260</v>
      </c>
      <c r="C379" s="197" t="s">
        <v>1377</v>
      </c>
    </row>
    <row r="380" spans="1:3" x14ac:dyDescent="0.35">
      <c r="A380" s="195">
        <v>105</v>
      </c>
      <c r="B380" s="196" t="s">
        <v>261</v>
      </c>
      <c r="C380" s="197" t="s">
        <v>1378</v>
      </c>
    </row>
    <row r="381" spans="1:3" x14ac:dyDescent="0.35">
      <c r="A381" s="195">
        <v>106</v>
      </c>
      <c r="B381" s="196"/>
      <c r="C381" s="197"/>
    </row>
    <row r="382" spans="1:3" x14ac:dyDescent="0.35">
      <c r="A382" s="195">
        <v>107</v>
      </c>
      <c r="B382" s="196" t="s">
        <v>263</v>
      </c>
      <c r="C382" s="197" t="s">
        <v>1379</v>
      </c>
    </row>
    <row r="383" spans="1:3" x14ac:dyDescent="0.35">
      <c r="A383" s="195">
        <v>108</v>
      </c>
      <c r="B383" s="196" t="s">
        <v>262</v>
      </c>
      <c r="C383" s="197" t="s">
        <v>1380</v>
      </c>
    </row>
    <row r="384" spans="1:3" x14ac:dyDescent="0.35">
      <c r="A384" s="195">
        <v>109</v>
      </c>
      <c r="B384" s="196"/>
      <c r="C384" s="197"/>
    </row>
    <row r="385" spans="1:3" x14ac:dyDescent="0.35">
      <c r="A385" s="195">
        <v>110</v>
      </c>
      <c r="B385" s="196" t="s">
        <v>295</v>
      </c>
      <c r="C385" s="197" t="s">
        <v>295</v>
      </c>
    </row>
    <row r="386" spans="1:3" x14ac:dyDescent="0.35">
      <c r="A386" s="195">
        <v>111</v>
      </c>
      <c r="B386" s="196" t="s">
        <v>296</v>
      </c>
      <c r="C386" s="197" t="s">
        <v>1381</v>
      </c>
    </row>
    <row r="387" spans="1:3" x14ac:dyDescent="0.35">
      <c r="A387" s="195">
        <v>112</v>
      </c>
      <c r="B387" s="196" t="s">
        <v>294</v>
      </c>
      <c r="C387" s="197" t="s">
        <v>1382</v>
      </c>
    </row>
    <row r="388" spans="1:3" x14ac:dyDescent="0.35">
      <c r="A388" s="195">
        <v>113</v>
      </c>
      <c r="B388" s="196"/>
      <c r="C388" s="197"/>
    </row>
    <row r="389" spans="1:3" x14ac:dyDescent="0.35">
      <c r="A389" s="195">
        <v>114</v>
      </c>
      <c r="B389" s="196" t="s">
        <v>295</v>
      </c>
      <c r="C389" s="197" t="s">
        <v>295</v>
      </c>
    </row>
    <row r="390" spans="1:3" x14ac:dyDescent="0.35">
      <c r="A390" s="195">
        <v>115</v>
      </c>
      <c r="B390" s="196" t="s">
        <v>298</v>
      </c>
      <c r="C390" s="197" t="s">
        <v>1383</v>
      </c>
    </row>
    <row r="391" spans="1:3" x14ac:dyDescent="0.35">
      <c r="A391" s="195">
        <v>116</v>
      </c>
      <c r="B391" s="196" t="s">
        <v>297</v>
      </c>
      <c r="C391" s="197" t="s">
        <v>1384</v>
      </c>
    </row>
    <row r="392" spans="1:3" x14ac:dyDescent="0.35">
      <c r="A392" s="195">
        <v>117</v>
      </c>
      <c r="B392" s="196" t="s">
        <v>131</v>
      </c>
      <c r="C392" s="197" t="s">
        <v>1338</v>
      </c>
    </row>
    <row r="393" spans="1:3" x14ac:dyDescent="0.35">
      <c r="A393" s="195">
        <v>118</v>
      </c>
      <c r="B393" s="196"/>
      <c r="C393" s="197"/>
    </row>
    <row r="394" spans="1:3" x14ac:dyDescent="0.35">
      <c r="A394" s="195">
        <v>119</v>
      </c>
      <c r="B394" s="196" t="s">
        <v>300</v>
      </c>
      <c r="C394" s="197" t="s">
        <v>1385</v>
      </c>
    </row>
    <row r="395" spans="1:3" x14ac:dyDescent="0.35">
      <c r="A395" s="195">
        <v>120</v>
      </c>
      <c r="B395" s="196" t="s">
        <v>301</v>
      </c>
      <c r="C395" s="197" t="s">
        <v>1386</v>
      </c>
    </row>
    <row r="396" spans="1:3" x14ac:dyDescent="0.35">
      <c r="A396" s="195">
        <v>121</v>
      </c>
      <c r="B396" s="196" t="s">
        <v>303</v>
      </c>
      <c r="C396" s="197" t="s">
        <v>1387</v>
      </c>
    </row>
    <row r="397" spans="1:3" x14ac:dyDescent="0.35">
      <c r="A397" s="195">
        <v>122</v>
      </c>
      <c r="B397" s="196" t="s">
        <v>302</v>
      </c>
      <c r="C397" s="197" t="s">
        <v>1388</v>
      </c>
    </row>
    <row r="398" spans="1:3" x14ac:dyDescent="0.35">
      <c r="A398" s="195">
        <v>123</v>
      </c>
      <c r="B398" s="198"/>
      <c r="C398" s="197"/>
    </row>
    <row r="399" spans="1:3" x14ac:dyDescent="0.35">
      <c r="A399" s="195">
        <v>124</v>
      </c>
      <c r="B399" s="196" t="s">
        <v>307</v>
      </c>
      <c r="C399" s="197" t="s">
        <v>1389</v>
      </c>
    </row>
    <row r="400" spans="1:3" x14ac:dyDescent="0.35">
      <c r="A400" s="195">
        <v>125</v>
      </c>
      <c r="B400" s="196" t="s">
        <v>308</v>
      </c>
      <c r="C400" s="197" t="s">
        <v>1390</v>
      </c>
    </row>
    <row r="401" spans="1:3" x14ac:dyDescent="0.35">
      <c r="A401" s="195">
        <v>126</v>
      </c>
      <c r="B401" s="196" t="s">
        <v>305</v>
      </c>
      <c r="C401" s="197" t="s">
        <v>1391</v>
      </c>
    </row>
    <row r="402" spans="1:3" x14ac:dyDescent="0.35">
      <c r="A402" s="195">
        <v>127</v>
      </c>
      <c r="B402" s="196" t="s">
        <v>306</v>
      </c>
      <c r="C402" s="197" t="s">
        <v>1392</v>
      </c>
    </row>
    <row r="403" spans="1:3" x14ac:dyDescent="0.35">
      <c r="A403" s="195">
        <v>128</v>
      </c>
      <c r="B403" s="199"/>
      <c r="C403" s="197"/>
    </row>
    <row r="404" spans="1:3" x14ac:dyDescent="0.35">
      <c r="A404" s="195">
        <v>129</v>
      </c>
      <c r="B404" s="196" t="s">
        <v>311</v>
      </c>
      <c r="C404" s="197" t="s">
        <v>311</v>
      </c>
    </row>
    <row r="405" spans="1:3" x14ac:dyDescent="0.35">
      <c r="A405" s="195">
        <v>130</v>
      </c>
      <c r="B405" s="196" t="s">
        <v>313</v>
      </c>
      <c r="C405" s="197" t="s">
        <v>1393</v>
      </c>
    </row>
    <row r="406" spans="1:3" x14ac:dyDescent="0.35">
      <c r="A406" s="195">
        <v>131</v>
      </c>
      <c r="B406" s="196" t="s">
        <v>312</v>
      </c>
      <c r="C406" s="197" t="s">
        <v>1394</v>
      </c>
    </row>
    <row r="407" spans="1:3" x14ac:dyDescent="0.35">
      <c r="A407" s="195">
        <v>132</v>
      </c>
      <c r="B407" s="196"/>
      <c r="C407" s="197"/>
    </row>
    <row r="408" spans="1:3" x14ac:dyDescent="0.35">
      <c r="A408" s="195">
        <v>133</v>
      </c>
      <c r="B408" s="196" t="s">
        <v>318</v>
      </c>
      <c r="C408" s="197" t="s">
        <v>1395</v>
      </c>
    </row>
    <row r="409" spans="1:3" x14ac:dyDescent="0.35">
      <c r="A409" s="195">
        <v>134</v>
      </c>
      <c r="B409" s="196" t="s">
        <v>317</v>
      </c>
      <c r="C409" s="197" t="s">
        <v>1396</v>
      </c>
    </row>
    <row r="410" spans="1:3" x14ac:dyDescent="0.35">
      <c r="A410" s="195">
        <v>135</v>
      </c>
      <c r="B410" s="196"/>
      <c r="C410" s="197"/>
    </row>
    <row r="411" spans="1:3" x14ac:dyDescent="0.35">
      <c r="A411" s="195">
        <v>136</v>
      </c>
      <c r="B411" s="196" t="s">
        <v>149</v>
      </c>
      <c r="C411" s="197" t="s">
        <v>1352</v>
      </c>
    </row>
    <row r="412" spans="1:3" x14ac:dyDescent="0.35">
      <c r="A412" s="195">
        <v>137</v>
      </c>
      <c r="B412" s="196" t="s">
        <v>319</v>
      </c>
      <c r="C412" s="197" t="s">
        <v>1397</v>
      </c>
    </row>
    <row r="413" spans="1:3" x14ac:dyDescent="0.35">
      <c r="A413" s="195">
        <v>138</v>
      </c>
      <c r="B413" s="196" t="s">
        <v>320</v>
      </c>
      <c r="C413" s="197" t="s">
        <v>1354</v>
      </c>
    </row>
    <row r="414" spans="1:3" x14ac:dyDescent="0.35">
      <c r="A414" s="195">
        <v>139</v>
      </c>
      <c r="B414" s="196" t="s">
        <v>131</v>
      </c>
      <c r="C414" s="197" t="s">
        <v>1338</v>
      </c>
    </row>
    <row r="415" spans="1:3" x14ac:dyDescent="0.35">
      <c r="A415" s="195">
        <v>140</v>
      </c>
      <c r="B415" s="196"/>
      <c r="C415" s="197"/>
    </row>
    <row r="416" spans="1:3" x14ac:dyDescent="0.35">
      <c r="A416" s="195">
        <v>141</v>
      </c>
      <c r="B416" s="196" t="s">
        <v>324</v>
      </c>
      <c r="C416" s="197" t="s">
        <v>1398</v>
      </c>
    </row>
    <row r="417" spans="1:3" x14ac:dyDescent="0.35">
      <c r="A417" s="195">
        <v>142</v>
      </c>
      <c r="B417" s="196" t="s">
        <v>325</v>
      </c>
      <c r="C417" s="197" t="s">
        <v>1399</v>
      </c>
    </row>
    <row r="418" spans="1:3" x14ac:dyDescent="0.35">
      <c r="A418" s="195">
        <v>143</v>
      </c>
      <c r="B418" s="196" t="s">
        <v>326</v>
      </c>
      <c r="C418" s="197" t="s">
        <v>1400</v>
      </c>
    </row>
    <row r="419" spans="1:3" x14ac:dyDescent="0.35">
      <c r="A419" s="195">
        <v>144</v>
      </c>
      <c r="B419" s="196" t="s">
        <v>327</v>
      </c>
      <c r="C419" s="197" t="s">
        <v>1401</v>
      </c>
    </row>
    <row r="420" spans="1:3" x14ac:dyDescent="0.35">
      <c r="A420" s="195">
        <v>145</v>
      </c>
      <c r="B420" s="196"/>
      <c r="C420" s="197"/>
    </row>
    <row r="421" spans="1:3" x14ac:dyDescent="0.35">
      <c r="A421" s="195">
        <v>146</v>
      </c>
      <c r="B421" s="196" t="s">
        <v>149</v>
      </c>
      <c r="C421" s="197" t="s">
        <v>1352</v>
      </c>
    </row>
    <row r="422" spans="1:3" x14ac:dyDescent="0.35">
      <c r="A422" s="195">
        <v>147</v>
      </c>
      <c r="B422" s="196" t="s">
        <v>319</v>
      </c>
      <c r="C422" s="197" t="s">
        <v>1397</v>
      </c>
    </row>
    <row r="423" spans="1:3" x14ac:dyDescent="0.35">
      <c r="A423" s="195">
        <v>148</v>
      </c>
      <c r="B423" s="196" t="s">
        <v>320</v>
      </c>
      <c r="C423" s="197" t="s">
        <v>1354</v>
      </c>
    </row>
    <row r="424" spans="1:3" x14ac:dyDescent="0.35">
      <c r="A424" s="195">
        <v>149</v>
      </c>
      <c r="B424" s="196" t="s">
        <v>328</v>
      </c>
      <c r="C424" s="197" t="s">
        <v>1402</v>
      </c>
    </row>
    <row r="425" spans="1:3" x14ac:dyDescent="0.35">
      <c r="A425" s="195">
        <v>150</v>
      </c>
      <c r="B425" s="196" t="s">
        <v>329</v>
      </c>
      <c r="C425" s="197" t="s">
        <v>1403</v>
      </c>
    </row>
    <row r="426" spans="1:3" x14ac:dyDescent="0.35">
      <c r="A426" s="195">
        <v>151</v>
      </c>
      <c r="B426" s="196"/>
      <c r="C426" s="197"/>
    </row>
    <row r="427" spans="1:3" x14ac:dyDescent="0.35">
      <c r="A427" s="195">
        <v>152</v>
      </c>
      <c r="B427" s="196" t="s">
        <v>149</v>
      </c>
      <c r="C427" s="197" t="s">
        <v>1352</v>
      </c>
    </row>
    <row r="428" spans="1:3" x14ac:dyDescent="0.35">
      <c r="A428" s="195">
        <v>153</v>
      </c>
      <c r="B428" s="196" t="s">
        <v>330</v>
      </c>
      <c r="C428" s="197" t="s">
        <v>1404</v>
      </c>
    </row>
    <row r="429" spans="1:3" x14ac:dyDescent="0.35">
      <c r="A429" s="195">
        <v>154</v>
      </c>
      <c r="B429" s="196" t="s">
        <v>328</v>
      </c>
      <c r="C429" s="197" t="s">
        <v>1402</v>
      </c>
    </row>
    <row r="430" spans="1:3" x14ac:dyDescent="0.35">
      <c r="A430" s="195">
        <v>155</v>
      </c>
      <c r="B430" s="199"/>
      <c r="C430" s="197"/>
    </row>
    <row r="431" spans="1:3" x14ac:dyDescent="0.35">
      <c r="A431" s="195">
        <v>156</v>
      </c>
      <c r="B431" s="196" t="s">
        <v>333</v>
      </c>
      <c r="C431" s="197" t="s">
        <v>1405</v>
      </c>
    </row>
    <row r="432" spans="1:3" x14ac:dyDescent="0.35">
      <c r="A432" s="195">
        <v>157</v>
      </c>
      <c r="B432" s="196" t="s">
        <v>334</v>
      </c>
      <c r="C432" s="197" t="s">
        <v>1406</v>
      </c>
    </row>
    <row r="433" spans="1:3" x14ac:dyDescent="0.35">
      <c r="A433" s="195">
        <v>158</v>
      </c>
      <c r="B433" s="196" t="s">
        <v>328</v>
      </c>
      <c r="C433" s="197" t="s">
        <v>1402</v>
      </c>
    </row>
    <row r="434" spans="1:3" x14ac:dyDescent="0.35">
      <c r="A434" s="195">
        <v>159</v>
      </c>
      <c r="B434" s="196"/>
      <c r="C434" s="197"/>
    </row>
    <row r="435" spans="1:3" x14ac:dyDescent="0.35">
      <c r="A435" s="195">
        <v>160</v>
      </c>
      <c r="B435" s="196" t="s">
        <v>357</v>
      </c>
      <c r="C435" s="197" t="s">
        <v>2513</v>
      </c>
    </row>
    <row r="436" spans="1:3" x14ac:dyDescent="0.35">
      <c r="A436" s="195">
        <v>161</v>
      </c>
      <c r="B436" s="196" t="s">
        <v>356</v>
      </c>
      <c r="C436" s="197" t="s">
        <v>2514</v>
      </c>
    </row>
    <row r="437" spans="1:3" x14ac:dyDescent="0.35">
      <c r="A437" s="195">
        <v>162</v>
      </c>
      <c r="B437" s="196" t="s">
        <v>358</v>
      </c>
      <c r="C437" s="197" t="s">
        <v>2515</v>
      </c>
    </row>
    <row r="438" spans="1:3" x14ac:dyDescent="0.35">
      <c r="A438" s="195">
        <v>163</v>
      </c>
      <c r="B438" s="196" t="s">
        <v>359</v>
      </c>
      <c r="C438" s="197" t="s">
        <v>2512</v>
      </c>
    </row>
    <row r="439" spans="1:3" x14ac:dyDescent="0.35">
      <c r="A439" s="195">
        <v>164</v>
      </c>
      <c r="B439" s="196"/>
      <c r="C439" s="197"/>
    </row>
    <row r="440" spans="1:3" x14ac:dyDescent="0.35">
      <c r="A440" s="195">
        <v>165</v>
      </c>
      <c r="B440" s="196" t="s">
        <v>362</v>
      </c>
      <c r="C440" s="197" t="s">
        <v>1407</v>
      </c>
    </row>
    <row r="441" spans="1:3" x14ac:dyDescent="0.35">
      <c r="A441" s="195">
        <v>166</v>
      </c>
      <c r="B441" s="196" t="s">
        <v>363</v>
      </c>
      <c r="C441" s="197" t="s">
        <v>1408</v>
      </c>
    </row>
    <row r="442" spans="1:3" x14ac:dyDescent="0.35">
      <c r="A442" s="195">
        <v>167</v>
      </c>
      <c r="B442" s="196" t="s">
        <v>364</v>
      </c>
      <c r="C442" s="197" t="s">
        <v>1409</v>
      </c>
    </row>
    <row r="443" spans="1:3" x14ac:dyDescent="0.35">
      <c r="A443" s="195">
        <v>168</v>
      </c>
      <c r="B443" s="196" t="s">
        <v>539</v>
      </c>
      <c r="C443" s="197" t="s">
        <v>1410</v>
      </c>
    </row>
    <row r="444" spans="1:3" x14ac:dyDescent="0.35">
      <c r="A444" s="195">
        <v>169</v>
      </c>
      <c r="B444" s="199"/>
      <c r="C444" s="197"/>
    </row>
    <row r="445" spans="1:3" x14ac:dyDescent="0.35">
      <c r="A445" s="195">
        <v>170</v>
      </c>
      <c r="B445" s="196" t="s">
        <v>366</v>
      </c>
      <c r="C445" s="197" t="s">
        <v>1411</v>
      </c>
    </row>
    <row r="446" spans="1:3" x14ac:dyDescent="0.35">
      <c r="A446" s="195">
        <v>171</v>
      </c>
      <c r="B446" s="196" t="s">
        <v>367</v>
      </c>
      <c r="C446" s="197" t="s">
        <v>1412</v>
      </c>
    </row>
    <row r="447" spans="1:3" x14ac:dyDescent="0.35">
      <c r="A447" s="195">
        <v>172</v>
      </c>
      <c r="B447" s="196" t="s">
        <v>368</v>
      </c>
      <c r="C447" s="197" t="s">
        <v>1413</v>
      </c>
    </row>
    <row r="448" spans="1:3" x14ac:dyDescent="0.35">
      <c r="A448" s="195">
        <v>173</v>
      </c>
      <c r="B448" s="199"/>
      <c r="C448" s="197"/>
    </row>
    <row r="449" spans="1:3" x14ac:dyDescent="0.35">
      <c r="A449" s="195">
        <v>174</v>
      </c>
      <c r="B449" s="196" t="s">
        <v>373</v>
      </c>
      <c r="C449" s="197" t="s">
        <v>1414</v>
      </c>
    </row>
    <row r="450" spans="1:3" x14ac:dyDescent="0.35">
      <c r="A450" s="195">
        <v>175</v>
      </c>
      <c r="B450" s="196" t="s">
        <v>374</v>
      </c>
      <c r="C450" s="197" t="s">
        <v>1415</v>
      </c>
    </row>
    <row r="451" spans="1:3" x14ac:dyDescent="0.35">
      <c r="A451" s="195">
        <v>176</v>
      </c>
      <c r="B451" s="196"/>
      <c r="C451" s="197"/>
    </row>
    <row r="452" spans="1:3" x14ac:dyDescent="0.35">
      <c r="A452" s="195">
        <v>177</v>
      </c>
      <c r="B452" s="196" t="s">
        <v>379</v>
      </c>
      <c r="C452" s="197" t="s">
        <v>1416</v>
      </c>
    </row>
    <row r="453" spans="1:3" x14ac:dyDescent="0.35">
      <c r="A453" s="195">
        <v>178</v>
      </c>
      <c r="B453" s="196" t="s">
        <v>381</v>
      </c>
      <c r="C453" s="197" t="s">
        <v>1417</v>
      </c>
    </row>
    <row r="454" spans="1:3" x14ac:dyDescent="0.35">
      <c r="A454" s="195">
        <v>179</v>
      </c>
      <c r="B454" s="199"/>
      <c r="C454" s="197"/>
    </row>
    <row r="455" spans="1:3" x14ac:dyDescent="0.35">
      <c r="A455" s="195">
        <v>180</v>
      </c>
      <c r="B455" s="196" t="s">
        <v>380</v>
      </c>
      <c r="C455" s="197" t="s">
        <v>1418</v>
      </c>
    </row>
    <row r="456" spans="1:3" x14ac:dyDescent="0.35">
      <c r="A456" s="195">
        <v>181</v>
      </c>
      <c r="B456" s="196" t="s">
        <v>381</v>
      </c>
      <c r="C456" s="197" t="s">
        <v>1417</v>
      </c>
    </row>
    <row r="457" spans="1:3" x14ac:dyDescent="0.35">
      <c r="A457" s="195">
        <v>182</v>
      </c>
      <c r="B457" s="199"/>
      <c r="C457" s="197"/>
    </row>
    <row r="458" spans="1:3" x14ac:dyDescent="0.35">
      <c r="A458" s="195">
        <v>183</v>
      </c>
      <c r="B458" s="196" t="s">
        <v>395</v>
      </c>
      <c r="C458" s="197" t="s">
        <v>1419</v>
      </c>
    </row>
    <row r="459" spans="1:3" x14ac:dyDescent="0.35">
      <c r="A459" s="195">
        <v>184</v>
      </c>
      <c r="B459" s="196" t="s">
        <v>396</v>
      </c>
      <c r="C459" s="197" t="s">
        <v>1420</v>
      </c>
    </row>
    <row r="460" spans="1:3" x14ac:dyDescent="0.35">
      <c r="A460" s="195">
        <v>185</v>
      </c>
      <c r="B460" s="196" t="s">
        <v>328</v>
      </c>
      <c r="C460" s="197" t="s">
        <v>1421</v>
      </c>
    </row>
    <row r="461" spans="1:3" x14ac:dyDescent="0.35">
      <c r="A461" s="195">
        <v>186</v>
      </c>
      <c r="B461" s="196"/>
      <c r="C461" s="197"/>
    </row>
    <row r="462" spans="1:3" x14ac:dyDescent="0.35">
      <c r="A462" s="195">
        <v>187</v>
      </c>
      <c r="B462" s="196" t="s">
        <v>265</v>
      </c>
      <c r="C462" s="197" t="s">
        <v>1422</v>
      </c>
    </row>
    <row r="463" spans="1:3" x14ac:dyDescent="0.35">
      <c r="A463" s="195">
        <v>188</v>
      </c>
      <c r="B463" s="196" t="s">
        <v>266</v>
      </c>
      <c r="C463" s="197" t="s">
        <v>1423</v>
      </c>
    </row>
    <row r="464" spans="1:3" x14ac:dyDescent="0.35">
      <c r="A464" s="195">
        <v>189</v>
      </c>
      <c r="B464" s="196" t="s">
        <v>267</v>
      </c>
      <c r="C464" s="197" t="s">
        <v>1424</v>
      </c>
    </row>
    <row r="465" spans="1:3" x14ac:dyDescent="0.35">
      <c r="A465" s="195">
        <v>190</v>
      </c>
      <c r="B465" s="199"/>
      <c r="C465" s="197"/>
    </row>
    <row r="466" spans="1:3" x14ac:dyDescent="0.35">
      <c r="A466" s="195">
        <v>191</v>
      </c>
      <c r="B466" s="196" t="s">
        <v>167</v>
      </c>
      <c r="C466" s="197" t="s">
        <v>167</v>
      </c>
    </row>
    <row r="467" spans="1:3" x14ac:dyDescent="0.35">
      <c r="A467" s="195">
        <v>192</v>
      </c>
      <c r="B467" s="196" t="s">
        <v>168</v>
      </c>
      <c r="C467" s="197" t="s">
        <v>168</v>
      </c>
    </row>
    <row r="468" spans="1:3" x14ac:dyDescent="0.35">
      <c r="A468" s="195">
        <v>193</v>
      </c>
      <c r="B468" s="196" t="s">
        <v>169</v>
      </c>
      <c r="C468" s="197" t="s">
        <v>169</v>
      </c>
    </row>
    <row r="469" spans="1:3" x14ac:dyDescent="0.35">
      <c r="A469" s="195">
        <v>194</v>
      </c>
      <c r="B469" s="196" t="s">
        <v>170</v>
      </c>
      <c r="C469" s="197" t="s">
        <v>1362</v>
      </c>
    </row>
    <row r="470" spans="1:3" x14ac:dyDescent="0.35">
      <c r="A470" s="195">
        <v>195</v>
      </c>
      <c r="B470" s="198"/>
      <c r="C470" s="197"/>
    </row>
    <row r="471" spans="1:3" x14ac:dyDescent="0.35">
      <c r="A471" s="195">
        <v>196</v>
      </c>
      <c r="B471" s="196" t="s">
        <v>173</v>
      </c>
      <c r="C471" s="197" t="s">
        <v>173</v>
      </c>
    </row>
    <row r="472" spans="1:3" x14ac:dyDescent="0.35">
      <c r="A472" s="195">
        <v>197</v>
      </c>
      <c r="B472" s="196" t="s">
        <v>174</v>
      </c>
      <c r="C472" s="197" t="s">
        <v>174</v>
      </c>
    </row>
    <row r="473" spans="1:3" x14ac:dyDescent="0.35">
      <c r="A473" s="195">
        <v>198</v>
      </c>
      <c r="B473" s="196" t="s">
        <v>175</v>
      </c>
      <c r="C473" s="197" t="s">
        <v>175</v>
      </c>
    </row>
    <row r="474" spans="1:3" x14ac:dyDescent="0.35">
      <c r="A474" s="195">
        <v>199</v>
      </c>
      <c r="B474" s="196" t="s">
        <v>170</v>
      </c>
      <c r="C474" s="197" t="s">
        <v>1362</v>
      </c>
    </row>
    <row r="475" spans="1:3" x14ac:dyDescent="0.35">
      <c r="A475" s="195">
        <v>200</v>
      </c>
      <c r="B475" s="199"/>
      <c r="C475" s="197"/>
    </row>
    <row r="476" spans="1:3" x14ac:dyDescent="0.35">
      <c r="A476" s="195">
        <v>201</v>
      </c>
      <c r="B476" s="196" t="s">
        <v>526</v>
      </c>
      <c r="C476" s="197" t="s">
        <v>526</v>
      </c>
    </row>
    <row r="477" spans="1:3" x14ac:dyDescent="0.35">
      <c r="A477" s="195">
        <v>202</v>
      </c>
      <c r="B477" s="196" t="s">
        <v>527</v>
      </c>
      <c r="C477" s="197" t="s">
        <v>527</v>
      </c>
    </row>
    <row r="478" spans="1:3" x14ac:dyDescent="0.35">
      <c r="A478" s="195">
        <v>203</v>
      </c>
      <c r="B478" s="196" t="s">
        <v>528</v>
      </c>
      <c r="C478" s="197" t="s">
        <v>528</v>
      </c>
    </row>
    <row r="479" spans="1:3" x14ac:dyDescent="0.35">
      <c r="A479" s="195">
        <v>204</v>
      </c>
      <c r="B479" s="196" t="s">
        <v>170</v>
      </c>
      <c r="C479" s="197" t="s">
        <v>1362</v>
      </c>
    </row>
    <row r="480" spans="1:3" x14ac:dyDescent="0.35">
      <c r="A480" s="195">
        <v>205</v>
      </c>
      <c r="B480" s="198"/>
      <c r="C480" s="197"/>
    </row>
    <row r="481" spans="1:3" x14ac:dyDescent="0.35">
      <c r="A481" s="195">
        <v>206</v>
      </c>
      <c r="B481" s="196" t="s">
        <v>529</v>
      </c>
      <c r="C481" s="197" t="s">
        <v>529</v>
      </c>
    </row>
    <row r="482" spans="1:3" x14ac:dyDescent="0.35">
      <c r="A482" s="195">
        <v>207</v>
      </c>
      <c r="B482" s="196" t="s">
        <v>530</v>
      </c>
      <c r="C482" s="197" t="s">
        <v>530</v>
      </c>
    </row>
    <row r="483" spans="1:3" x14ac:dyDescent="0.35">
      <c r="A483" s="195">
        <v>208</v>
      </c>
      <c r="B483" s="196" t="s">
        <v>531</v>
      </c>
      <c r="C483" s="197" t="s">
        <v>531</v>
      </c>
    </row>
    <row r="484" spans="1:3" x14ac:dyDescent="0.35">
      <c r="A484" s="195">
        <v>209</v>
      </c>
      <c r="B484" s="196" t="s">
        <v>170</v>
      </c>
      <c r="C484" s="197" t="s">
        <v>1362</v>
      </c>
    </row>
    <row r="485" spans="1:3" x14ac:dyDescent="0.35">
      <c r="A485" s="195">
        <v>210</v>
      </c>
      <c r="B485" s="196"/>
      <c r="C485" s="197"/>
    </row>
    <row r="486" spans="1:3" x14ac:dyDescent="0.35">
      <c r="A486" s="195">
        <v>211</v>
      </c>
      <c r="B486" s="196" t="s">
        <v>176</v>
      </c>
      <c r="C486" s="197" t="s">
        <v>176</v>
      </c>
    </row>
    <row r="487" spans="1:3" x14ac:dyDescent="0.35">
      <c r="A487" s="195">
        <v>212</v>
      </c>
      <c r="B487" s="196" t="s">
        <v>532</v>
      </c>
      <c r="C487" s="197" t="s">
        <v>532</v>
      </c>
    </row>
    <row r="488" spans="1:3" x14ac:dyDescent="0.35">
      <c r="A488" s="195">
        <v>213</v>
      </c>
      <c r="B488" s="196" t="s">
        <v>533</v>
      </c>
      <c r="C488" s="197" t="s">
        <v>533</v>
      </c>
    </row>
    <row r="489" spans="1:3" x14ac:dyDescent="0.35">
      <c r="A489" s="195">
        <v>214</v>
      </c>
      <c r="B489" s="196" t="s">
        <v>170</v>
      </c>
      <c r="C489" s="197" t="s">
        <v>1362</v>
      </c>
    </row>
    <row r="490" spans="1:3" x14ac:dyDescent="0.35">
      <c r="A490" s="195">
        <v>215</v>
      </c>
      <c r="B490" s="196"/>
      <c r="C490" s="197"/>
    </row>
    <row r="491" spans="1:3" x14ac:dyDescent="0.35">
      <c r="A491" s="195">
        <v>216</v>
      </c>
      <c r="B491" s="196" t="s">
        <v>534</v>
      </c>
      <c r="C491" s="197" t="s">
        <v>534</v>
      </c>
    </row>
    <row r="492" spans="1:3" x14ac:dyDescent="0.35">
      <c r="A492" s="195">
        <v>217</v>
      </c>
      <c r="B492" s="196" t="s">
        <v>177</v>
      </c>
      <c r="C492" s="197" t="s">
        <v>177</v>
      </c>
    </row>
    <row r="493" spans="1:3" x14ac:dyDescent="0.35">
      <c r="A493" s="195">
        <v>218</v>
      </c>
      <c r="B493" s="196" t="s">
        <v>535</v>
      </c>
      <c r="C493" s="197" t="s">
        <v>535</v>
      </c>
    </row>
    <row r="494" spans="1:3" x14ac:dyDescent="0.35">
      <c r="A494" s="195">
        <v>219</v>
      </c>
      <c r="B494" s="196" t="s">
        <v>536</v>
      </c>
      <c r="C494" s="197" t="s">
        <v>1425</v>
      </c>
    </row>
    <row r="495" spans="1:3" x14ac:dyDescent="0.35">
      <c r="A495" s="195">
        <v>220</v>
      </c>
      <c r="B495" s="196"/>
      <c r="C495" s="197"/>
    </row>
    <row r="496" spans="1:3" x14ac:dyDescent="0.35">
      <c r="A496" s="195">
        <v>221</v>
      </c>
      <c r="B496" s="196" t="s">
        <v>1744</v>
      </c>
      <c r="C496" s="197" t="s">
        <v>1820</v>
      </c>
    </row>
    <row r="497" spans="1:3" x14ac:dyDescent="0.35">
      <c r="A497" s="195">
        <v>222</v>
      </c>
      <c r="B497" s="196" t="s">
        <v>1745</v>
      </c>
      <c r="C497" s="197" t="s">
        <v>1821</v>
      </c>
    </row>
    <row r="498" spans="1:3" x14ac:dyDescent="0.35">
      <c r="A498" s="195">
        <v>223</v>
      </c>
      <c r="B498" s="196" t="s">
        <v>1746</v>
      </c>
      <c r="C498" s="197" t="s">
        <v>1822</v>
      </c>
    </row>
    <row r="499" spans="1:3" x14ac:dyDescent="0.35">
      <c r="A499" s="195">
        <v>224</v>
      </c>
      <c r="B499" s="196"/>
      <c r="C499" s="197"/>
    </row>
    <row r="500" spans="1:3" x14ac:dyDescent="0.35">
      <c r="A500" s="195">
        <v>225</v>
      </c>
      <c r="B500" s="196" t="s">
        <v>1748</v>
      </c>
      <c r="C500" s="197" t="s">
        <v>1748</v>
      </c>
    </row>
    <row r="501" spans="1:3" x14ac:dyDescent="0.35">
      <c r="A501" s="195">
        <v>226</v>
      </c>
      <c r="B501" s="196" t="s">
        <v>1750</v>
      </c>
      <c r="C501" s="197" t="s">
        <v>1823</v>
      </c>
    </row>
    <row r="502" spans="1:3" x14ac:dyDescent="0.35">
      <c r="A502" s="195">
        <v>227</v>
      </c>
      <c r="B502" s="196" t="s">
        <v>1749</v>
      </c>
      <c r="C502" s="197" t="s">
        <v>1824</v>
      </c>
    </row>
    <row r="503" spans="1:3" x14ac:dyDescent="0.35">
      <c r="A503" s="195">
        <v>228</v>
      </c>
      <c r="B503" s="196" t="s">
        <v>1751</v>
      </c>
      <c r="C503" s="197" t="s">
        <v>1825</v>
      </c>
    </row>
    <row r="504" spans="1:3" x14ac:dyDescent="0.35">
      <c r="A504" s="195">
        <v>229</v>
      </c>
      <c r="B504" s="196"/>
      <c r="C504" s="197"/>
    </row>
    <row r="505" spans="1:3" x14ac:dyDescent="0.35">
      <c r="A505" s="195">
        <v>230</v>
      </c>
      <c r="B505" s="196" t="s">
        <v>1752</v>
      </c>
      <c r="C505" s="197" t="s">
        <v>1826</v>
      </c>
    </row>
    <row r="506" spans="1:3" x14ac:dyDescent="0.35">
      <c r="A506" s="195">
        <v>231</v>
      </c>
      <c r="B506" s="196" t="s">
        <v>1753</v>
      </c>
      <c r="C506" s="197" t="s">
        <v>1827</v>
      </c>
    </row>
    <row r="507" spans="1:3" x14ac:dyDescent="0.35">
      <c r="A507" s="200">
        <v>232</v>
      </c>
      <c r="B507" s="201" t="s">
        <v>1751</v>
      </c>
      <c r="C507" s="202" t="s">
        <v>1825</v>
      </c>
    </row>
    <row r="508" spans="1:3" x14ac:dyDescent="0.35">
      <c r="B508" s="57"/>
    </row>
    <row r="509" spans="1:3" ht="21" x14ac:dyDescent="0.35">
      <c r="A509" s="126" t="s">
        <v>2504</v>
      </c>
      <c r="B509" s="213"/>
      <c r="C509" s="127"/>
    </row>
    <row r="510" spans="1:3" ht="15.5" x14ac:dyDescent="0.35">
      <c r="A510" s="182">
        <v>1</v>
      </c>
      <c r="B510" s="183" t="s">
        <v>445</v>
      </c>
      <c r="C510" s="184" t="s">
        <v>542</v>
      </c>
    </row>
    <row r="511" spans="1:3" ht="15.5" x14ac:dyDescent="0.35">
      <c r="A511" s="185">
        <v>2</v>
      </c>
      <c r="B511" s="186" t="s">
        <v>442</v>
      </c>
      <c r="C511" s="187" t="s">
        <v>1701</v>
      </c>
    </row>
    <row r="512" spans="1:3" ht="15.5" x14ac:dyDescent="0.35">
      <c r="A512" s="185">
        <v>3</v>
      </c>
      <c r="B512" s="186" t="s">
        <v>440</v>
      </c>
      <c r="C512" s="187" t="s">
        <v>543</v>
      </c>
    </row>
    <row r="513" spans="1:3" ht="15.5" x14ac:dyDescent="0.35">
      <c r="A513" s="185">
        <v>4</v>
      </c>
      <c r="B513" s="186" t="s">
        <v>441</v>
      </c>
      <c r="C513" s="187" t="s">
        <v>1702</v>
      </c>
    </row>
    <row r="514" spans="1:3" ht="15.5" x14ac:dyDescent="0.35">
      <c r="A514" s="185">
        <v>5</v>
      </c>
      <c r="B514" s="186" t="s">
        <v>444</v>
      </c>
      <c r="C514" s="187" t="s">
        <v>900</v>
      </c>
    </row>
    <row r="515" spans="1:3" ht="15.5" x14ac:dyDescent="0.35">
      <c r="A515" s="185">
        <v>6</v>
      </c>
      <c r="B515" s="186" t="s">
        <v>0</v>
      </c>
      <c r="C515" s="187" t="s">
        <v>1703</v>
      </c>
    </row>
    <row r="516" spans="1:3" ht="15.5" x14ac:dyDescent="0.35">
      <c r="A516" s="185">
        <v>7</v>
      </c>
      <c r="B516" s="186" t="s">
        <v>446</v>
      </c>
      <c r="C516" s="187" t="s">
        <v>1704</v>
      </c>
    </row>
    <row r="517" spans="1:3" ht="15.5" x14ac:dyDescent="0.35">
      <c r="A517" s="185">
        <v>8</v>
      </c>
      <c r="B517" s="186" t="s">
        <v>447</v>
      </c>
      <c r="C517" s="187" t="s">
        <v>1705</v>
      </c>
    </row>
    <row r="518" spans="1:3" ht="15.5" x14ac:dyDescent="0.35">
      <c r="A518" s="185">
        <v>9</v>
      </c>
      <c r="B518" s="186" t="s">
        <v>448</v>
      </c>
      <c r="C518" s="187" t="s">
        <v>1706</v>
      </c>
    </row>
    <row r="519" spans="1:3" ht="15.5" x14ac:dyDescent="0.35">
      <c r="A519" s="185">
        <v>10</v>
      </c>
      <c r="B519" s="186" t="s">
        <v>449</v>
      </c>
      <c r="C519" s="187" t="s">
        <v>449</v>
      </c>
    </row>
    <row r="520" spans="1:3" ht="15.5" x14ac:dyDescent="0.35">
      <c r="A520" s="185">
        <v>11</v>
      </c>
      <c r="B520" s="186" t="s">
        <v>450</v>
      </c>
      <c r="C520" s="187" t="s">
        <v>1707</v>
      </c>
    </row>
    <row r="521" spans="1:3" ht="15.5" x14ac:dyDescent="0.35">
      <c r="A521" s="185">
        <v>12</v>
      </c>
      <c r="B521" s="186" t="s">
        <v>451</v>
      </c>
      <c r="C521" s="187" t="s">
        <v>1708</v>
      </c>
    </row>
    <row r="522" spans="1:3" ht="15.5" x14ac:dyDescent="0.35">
      <c r="A522" s="185">
        <v>13</v>
      </c>
      <c r="B522" s="186" t="s">
        <v>452</v>
      </c>
      <c r="C522" s="187" t="s">
        <v>1709</v>
      </c>
    </row>
    <row r="523" spans="1:3" ht="15.5" x14ac:dyDescent="0.35">
      <c r="A523" s="185">
        <v>14</v>
      </c>
      <c r="B523" s="186" t="s">
        <v>453</v>
      </c>
      <c r="C523" s="187" t="s">
        <v>1710</v>
      </c>
    </row>
    <row r="524" spans="1:3" ht="15.5" x14ac:dyDescent="0.35">
      <c r="A524" s="185">
        <v>15</v>
      </c>
      <c r="B524" s="186" t="s">
        <v>454</v>
      </c>
      <c r="C524" s="187" t="s">
        <v>1711</v>
      </c>
    </row>
    <row r="525" spans="1:3" ht="15.5" x14ac:dyDescent="0.35">
      <c r="A525" s="185">
        <v>16</v>
      </c>
      <c r="B525" s="186" t="s">
        <v>455</v>
      </c>
      <c r="C525" s="187" t="s">
        <v>1712</v>
      </c>
    </row>
    <row r="526" spans="1:3" ht="15.5" x14ac:dyDescent="0.35">
      <c r="A526" s="185">
        <v>17</v>
      </c>
      <c r="B526" s="186" t="s">
        <v>469</v>
      </c>
      <c r="C526" s="187" t="s">
        <v>1665</v>
      </c>
    </row>
    <row r="527" spans="1:3" ht="15.5" x14ac:dyDescent="0.35">
      <c r="A527" s="185">
        <v>18</v>
      </c>
      <c r="B527" s="186" t="s">
        <v>470</v>
      </c>
      <c r="C527" s="187" t="s">
        <v>1666</v>
      </c>
    </row>
    <row r="528" spans="1:3" ht="15.5" x14ac:dyDescent="0.35">
      <c r="A528" s="185">
        <v>19</v>
      </c>
      <c r="B528" s="186" t="s">
        <v>1</v>
      </c>
      <c r="C528" s="187" t="s">
        <v>1667</v>
      </c>
    </row>
    <row r="529" spans="1:3" ht="15.5" x14ac:dyDescent="0.35">
      <c r="A529" s="185">
        <v>20</v>
      </c>
      <c r="B529" s="186" t="s">
        <v>471</v>
      </c>
      <c r="C529" s="187" t="s">
        <v>1668</v>
      </c>
    </row>
    <row r="530" spans="1:3" ht="15.5" x14ac:dyDescent="0.35">
      <c r="A530" s="185">
        <v>21</v>
      </c>
      <c r="B530" s="186" t="s">
        <v>472</v>
      </c>
      <c r="C530" s="187" t="s">
        <v>1669</v>
      </c>
    </row>
    <row r="531" spans="1:3" ht="15.5" x14ac:dyDescent="0.35">
      <c r="A531" s="185">
        <v>22</v>
      </c>
      <c r="B531" s="186" t="s">
        <v>120</v>
      </c>
      <c r="C531" s="187" t="s">
        <v>1670</v>
      </c>
    </row>
    <row r="532" spans="1:3" ht="15.5" x14ac:dyDescent="0.35">
      <c r="A532" s="185">
        <v>23</v>
      </c>
      <c r="B532" s="186" t="s">
        <v>121</v>
      </c>
      <c r="C532" s="187" t="s">
        <v>1671</v>
      </c>
    </row>
    <row r="533" spans="1:3" ht="15.5" x14ac:dyDescent="0.35">
      <c r="A533" s="185">
        <v>24</v>
      </c>
      <c r="B533" s="186" t="s">
        <v>473</v>
      </c>
      <c r="C533" s="187" t="s">
        <v>1672</v>
      </c>
    </row>
    <row r="534" spans="1:3" ht="15.5" x14ac:dyDescent="0.35">
      <c r="A534" s="185">
        <v>25</v>
      </c>
      <c r="B534" s="186" t="s">
        <v>116</v>
      </c>
      <c r="C534" s="187" t="s">
        <v>1673</v>
      </c>
    </row>
    <row r="535" spans="1:3" ht="15.5" x14ac:dyDescent="0.35">
      <c r="A535" s="185">
        <v>26</v>
      </c>
      <c r="B535" s="186" t="s">
        <v>521</v>
      </c>
      <c r="C535" s="187" t="s">
        <v>1666</v>
      </c>
    </row>
    <row r="536" spans="1:3" ht="15.5" x14ac:dyDescent="0.35">
      <c r="A536" s="185">
        <v>27</v>
      </c>
      <c r="B536" s="186" t="s">
        <v>127</v>
      </c>
      <c r="C536" s="187" t="s">
        <v>1674</v>
      </c>
    </row>
    <row r="537" spans="1:3" ht="15.5" x14ac:dyDescent="0.35">
      <c r="A537" s="185">
        <v>28</v>
      </c>
      <c r="B537" s="186" t="s">
        <v>277</v>
      </c>
      <c r="C537" s="187" t="s">
        <v>1675</v>
      </c>
    </row>
    <row r="538" spans="1:3" ht="15.5" x14ac:dyDescent="0.35">
      <c r="A538" s="185">
        <v>29</v>
      </c>
      <c r="B538" s="186" t="s">
        <v>125</v>
      </c>
      <c r="C538" s="187" t="s">
        <v>1676</v>
      </c>
    </row>
    <row r="539" spans="1:3" ht="15.5" x14ac:dyDescent="0.35">
      <c r="A539" s="185">
        <v>30</v>
      </c>
      <c r="B539" s="186" t="s">
        <v>126</v>
      </c>
      <c r="C539" s="187" t="s">
        <v>1677</v>
      </c>
    </row>
    <row r="540" spans="1:3" ht="15.5" x14ac:dyDescent="0.35">
      <c r="A540" s="185">
        <v>31</v>
      </c>
      <c r="B540" s="186" t="s">
        <v>3</v>
      </c>
      <c r="C540" s="187" t="s">
        <v>1678</v>
      </c>
    </row>
    <row r="541" spans="1:3" ht="15.5" x14ac:dyDescent="0.35">
      <c r="A541" s="185">
        <v>32</v>
      </c>
      <c r="B541" s="186" t="s">
        <v>270</v>
      </c>
      <c r="C541" s="187" t="s">
        <v>1679</v>
      </c>
    </row>
    <row r="542" spans="1:3" ht="15.5" x14ac:dyDescent="0.35">
      <c r="A542" s="185">
        <v>33</v>
      </c>
      <c r="B542" s="186" t="s">
        <v>481</v>
      </c>
      <c r="C542" s="187" t="s">
        <v>1680</v>
      </c>
    </row>
    <row r="543" spans="1:3" ht="15.5" x14ac:dyDescent="0.35">
      <c r="A543" s="185">
        <v>34</v>
      </c>
      <c r="B543" s="186" t="s">
        <v>479</v>
      </c>
      <c r="C543" s="187" t="s">
        <v>1681</v>
      </c>
    </row>
    <row r="544" spans="1:3" ht="15.5" x14ac:dyDescent="0.35">
      <c r="A544" s="185">
        <v>35</v>
      </c>
      <c r="B544" s="186" t="s">
        <v>123</v>
      </c>
      <c r="C544" s="187" t="s">
        <v>1682</v>
      </c>
    </row>
    <row r="545" spans="1:3" ht="15.5" x14ac:dyDescent="0.35">
      <c r="A545" s="185">
        <v>36</v>
      </c>
      <c r="B545" s="186" t="s">
        <v>124</v>
      </c>
      <c r="C545" s="187" t="s">
        <v>1683</v>
      </c>
    </row>
    <row r="546" spans="1:3" ht="15.5" x14ac:dyDescent="0.35">
      <c r="A546" s="185">
        <v>37</v>
      </c>
      <c r="B546" s="186" t="s">
        <v>430</v>
      </c>
      <c r="C546" s="187" t="s">
        <v>1684</v>
      </c>
    </row>
    <row r="547" spans="1:3" ht="15.5" x14ac:dyDescent="0.35">
      <c r="A547" s="185">
        <v>38</v>
      </c>
      <c r="B547" s="186" t="s">
        <v>431</v>
      </c>
      <c r="C547" s="187" t="s">
        <v>1685</v>
      </c>
    </row>
    <row r="548" spans="1:3" ht="15.5" x14ac:dyDescent="0.35">
      <c r="A548" s="185">
        <v>39</v>
      </c>
      <c r="B548" s="186" t="s">
        <v>432</v>
      </c>
      <c r="C548" s="187" t="s">
        <v>1686</v>
      </c>
    </row>
    <row r="549" spans="1:3" ht="15.5" x14ac:dyDescent="0.35">
      <c r="A549" s="185">
        <v>40</v>
      </c>
      <c r="B549" s="186" t="s">
        <v>434</v>
      </c>
      <c r="C549" s="187" t="s">
        <v>1687</v>
      </c>
    </row>
    <row r="550" spans="1:3" ht="15.5" x14ac:dyDescent="0.35">
      <c r="A550" s="185">
        <v>41</v>
      </c>
      <c r="B550" s="186" t="s">
        <v>476</v>
      </c>
      <c r="C550" s="187" t="s">
        <v>1688</v>
      </c>
    </row>
    <row r="551" spans="1:3" ht="15.5" x14ac:dyDescent="0.35">
      <c r="A551" s="185">
        <v>42</v>
      </c>
      <c r="B551" s="186" t="s">
        <v>519</v>
      </c>
      <c r="C551" s="187" t="s">
        <v>519</v>
      </c>
    </row>
    <row r="552" spans="1:3" ht="15.5" x14ac:dyDescent="0.35">
      <c r="A552" s="185">
        <v>43</v>
      </c>
      <c r="B552" s="186" t="s">
        <v>477</v>
      </c>
      <c r="C552" s="187" t="s">
        <v>1689</v>
      </c>
    </row>
    <row r="553" spans="1:3" ht="15.5" x14ac:dyDescent="0.35">
      <c r="A553" s="185">
        <v>44</v>
      </c>
      <c r="B553" s="186" t="s">
        <v>478</v>
      </c>
      <c r="C553" s="187" t="s">
        <v>1690</v>
      </c>
    </row>
    <row r="554" spans="1:3" ht="15.5" x14ac:dyDescent="0.35">
      <c r="A554" s="185">
        <v>45</v>
      </c>
      <c r="B554" s="186" t="s">
        <v>433</v>
      </c>
      <c r="C554" s="187" t="s">
        <v>433</v>
      </c>
    </row>
    <row r="555" spans="1:3" ht="15.5" x14ac:dyDescent="0.35">
      <c r="A555" s="185">
        <v>46</v>
      </c>
      <c r="B555" s="186" t="s">
        <v>435</v>
      </c>
      <c r="C555" s="187" t="s">
        <v>1691</v>
      </c>
    </row>
    <row r="556" spans="1:3" ht="15.5" x14ac:dyDescent="0.35">
      <c r="A556" s="185">
        <v>47</v>
      </c>
      <c r="B556" s="186" t="s">
        <v>522</v>
      </c>
      <c r="C556" s="187" t="s">
        <v>1692</v>
      </c>
    </row>
    <row r="557" spans="1:3" ht="15.5" x14ac:dyDescent="0.35">
      <c r="A557" s="185">
        <v>48</v>
      </c>
      <c r="B557" s="186" t="s">
        <v>436</v>
      </c>
      <c r="C557" s="187" t="s">
        <v>1693</v>
      </c>
    </row>
    <row r="558" spans="1:3" ht="15.5" x14ac:dyDescent="0.35">
      <c r="A558" s="185">
        <v>49</v>
      </c>
      <c r="B558" s="186" t="s">
        <v>523</v>
      </c>
      <c r="C558" s="187" t="s">
        <v>1694</v>
      </c>
    </row>
    <row r="559" spans="1:3" ht="15.5" x14ac:dyDescent="0.35">
      <c r="A559" s="185">
        <v>50</v>
      </c>
      <c r="B559" s="186" t="s">
        <v>520</v>
      </c>
      <c r="C559" s="187" t="s">
        <v>1695</v>
      </c>
    </row>
    <row r="560" spans="1:3" ht="15.5" x14ac:dyDescent="0.35">
      <c r="A560" s="185">
        <v>51</v>
      </c>
      <c r="B560" s="186" t="s">
        <v>524</v>
      </c>
      <c r="C560" s="187" t="s">
        <v>1696</v>
      </c>
    </row>
    <row r="561" spans="1:3" ht="15.5" x14ac:dyDescent="0.35">
      <c r="A561" s="185">
        <v>52</v>
      </c>
      <c r="B561" s="186" t="s">
        <v>276</v>
      </c>
      <c r="C561" s="187" t="s">
        <v>1489</v>
      </c>
    </row>
    <row r="562" spans="1:3" ht="15.5" x14ac:dyDescent="0.35">
      <c r="A562" s="185">
        <v>53</v>
      </c>
      <c r="B562" s="186" t="s">
        <v>92</v>
      </c>
      <c r="C562" s="187" t="s">
        <v>1697</v>
      </c>
    </row>
    <row r="563" spans="1:3" ht="15.5" x14ac:dyDescent="0.35">
      <c r="A563" s="185">
        <v>54</v>
      </c>
      <c r="B563" s="186" t="s">
        <v>480</v>
      </c>
      <c r="C563" s="187" t="s">
        <v>1698</v>
      </c>
    </row>
    <row r="564" spans="1:3" ht="15.5" x14ac:dyDescent="0.35">
      <c r="A564" s="185">
        <v>55</v>
      </c>
      <c r="B564" s="186" t="s">
        <v>475</v>
      </c>
      <c r="C564" s="187" t="s">
        <v>1699</v>
      </c>
    </row>
    <row r="565" spans="1:3" ht="15.5" x14ac:dyDescent="0.35">
      <c r="A565" s="185">
        <v>56</v>
      </c>
      <c r="B565" s="186" t="s">
        <v>4</v>
      </c>
      <c r="C565" s="187" t="s">
        <v>1700</v>
      </c>
    </row>
    <row r="566" spans="1:3" ht="15.5" x14ac:dyDescent="0.35">
      <c r="A566" s="185">
        <v>57</v>
      </c>
      <c r="B566" s="186" t="s">
        <v>1314</v>
      </c>
      <c r="C566" s="187" t="s">
        <v>1700</v>
      </c>
    </row>
    <row r="567" spans="1:3" ht="15.5" x14ac:dyDescent="0.35">
      <c r="A567" s="185">
        <v>58</v>
      </c>
      <c r="B567" s="186" t="s">
        <v>1323</v>
      </c>
      <c r="C567" s="187" t="s">
        <v>1809</v>
      </c>
    </row>
    <row r="568" spans="1:3" ht="31" x14ac:dyDescent="0.35">
      <c r="A568" s="185">
        <v>59</v>
      </c>
      <c r="B568" s="186" t="s">
        <v>1321</v>
      </c>
      <c r="C568" s="187" t="s">
        <v>1810</v>
      </c>
    </row>
    <row r="569" spans="1:3" ht="31" x14ac:dyDescent="0.35">
      <c r="A569" s="185">
        <v>60</v>
      </c>
      <c r="B569" s="186" t="s">
        <v>1319</v>
      </c>
      <c r="C569" s="187" t="s">
        <v>1811</v>
      </c>
    </row>
    <row r="570" spans="1:3" ht="15.5" x14ac:dyDescent="0.35">
      <c r="A570" s="185">
        <v>61</v>
      </c>
      <c r="B570" s="186" t="s">
        <v>1320</v>
      </c>
      <c r="C570" s="187" t="s">
        <v>1812</v>
      </c>
    </row>
    <row r="571" spans="1:3" ht="15.5" x14ac:dyDescent="0.35">
      <c r="A571" s="185">
        <v>62</v>
      </c>
      <c r="B571" s="186" t="s">
        <v>1322</v>
      </c>
      <c r="C571" s="187" t="s">
        <v>1813</v>
      </c>
    </row>
    <row r="572" spans="1:3" ht="31" x14ac:dyDescent="0.35">
      <c r="A572" s="185">
        <v>63</v>
      </c>
      <c r="B572" s="186" t="s">
        <v>2483</v>
      </c>
      <c r="C572" s="187" t="s">
        <v>1814</v>
      </c>
    </row>
    <row r="573" spans="1:3" ht="15.5" x14ac:dyDescent="0.35">
      <c r="A573" s="185">
        <v>64</v>
      </c>
      <c r="B573" s="186" t="s">
        <v>1325</v>
      </c>
      <c r="C573" s="187" t="s">
        <v>1815</v>
      </c>
    </row>
    <row r="574" spans="1:3" ht="31" x14ac:dyDescent="0.35">
      <c r="A574" s="185">
        <v>65</v>
      </c>
      <c r="B574" s="186" t="s">
        <v>1756</v>
      </c>
      <c r="C574" s="187" t="s">
        <v>1816</v>
      </c>
    </row>
    <row r="575" spans="1:3" ht="15.5" x14ac:dyDescent="0.35">
      <c r="A575" s="185">
        <v>66</v>
      </c>
      <c r="B575" s="186" t="s">
        <v>1828</v>
      </c>
      <c r="C575" s="187" t="s">
        <v>1817</v>
      </c>
    </row>
    <row r="576" spans="1:3" ht="15.5" x14ac:dyDescent="0.35">
      <c r="A576" s="185">
        <v>67</v>
      </c>
      <c r="B576" s="186" t="s">
        <v>1787</v>
      </c>
      <c r="C576" s="187" t="s">
        <v>1787</v>
      </c>
    </row>
    <row r="577" spans="1:3" ht="15.5" x14ac:dyDescent="0.35">
      <c r="A577" s="185">
        <v>68</v>
      </c>
      <c r="B577" s="186" t="s">
        <v>1788</v>
      </c>
      <c r="C577" s="187" t="s">
        <v>1818</v>
      </c>
    </row>
    <row r="578" spans="1:3" ht="31" x14ac:dyDescent="0.35">
      <c r="A578" s="185">
        <v>69</v>
      </c>
      <c r="B578" s="186" t="s">
        <v>1789</v>
      </c>
      <c r="C578" s="187" t="s">
        <v>1819</v>
      </c>
    </row>
    <row r="579" spans="1:3" x14ac:dyDescent="0.35">
      <c r="A579" s="188">
        <v>70</v>
      </c>
      <c r="B579" s="187" t="s">
        <v>1757</v>
      </c>
      <c r="C579" s="187">
        <v>0</v>
      </c>
    </row>
    <row r="580" spans="1:3" x14ac:dyDescent="0.35">
      <c r="A580" s="188">
        <v>71</v>
      </c>
      <c r="B580" s="187" t="s">
        <v>2492</v>
      </c>
      <c r="C580" s="187">
        <v>0</v>
      </c>
    </row>
    <row r="581" spans="1:3" x14ac:dyDescent="0.35">
      <c r="A581" s="188">
        <v>72</v>
      </c>
      <c r="B581" s="187" t="s">
        <v>1747</v>
      </c>
      <c r="C581" s="187">
        <v>0</v>
      </c>
    </row>
    <row r="582" spans="1:3" x14ac:dyDescent="0.35">
      <c r="A582" s="188">
        <v>73</v>
      </c>
      <c r="B582" s="187" t="s">
        <v>2496</v>
      </c>
      <c r="C582" s="187">
        <v>0</v>
      </c>
    </row>
    <row r="583" spans="1:3" x14ac:dyDescent="0.35">
      <c r="A583" s="188">
        <v>74</v>
      </c>
      <c r="B583" s="187" t="s">
        <v>1755</v>
      </c>
      <c r="C583" s="187">
        <v>0</v>
      </c>
    </row>
    <row r="584" spans="1:3" x14ac:dyDescent="0.35">
      <c r="A584" s="188">
        <v>75</v>
      </c>
      <c r="B584" s="187" t="s">
        <v>1743</v>
      </c>
      <c r="C584" s="187">
        <v>0</v>
      </c>
    </row>
    <row r="585" spans="1:3" x14ac:dyDescent="0.35">
      <c r="A585" s="189">
        <v>76</v>
      </c>
      <c r="B585" s="190" t="s">
        <v>1742</v>
      </c>
      <c r="C585" s="190">
        <v>0</v>
      </c>
    </row>
  </sheetData>
  <sheetProtection formatRows="0" selectLockedCells="1"/>
  <conditionalFormatting sqref="C4:C273">
    <cfRule type="expression" dxfId="2" priority="3">
      <formula>AND(B4&lt;&gt;"",OR(C4="",C4=0))</formula>
    </cfRule>
  </conditionalFormatting>
  <conditionalFormatting sqref="C276:C507">
    <cfRule type="expression" dxfId="1" priority="2">
      <formula>AND(B276&lt;&gt;"",OR(C276="",C276=0))</formula>
    </cfRule>
  </conditionalFormatting>
  <conditionalFormatting sqref="C510:C585">
    <cfRule type="expression" dxfId="0" priority="1">
      <formula>AND(B510&lt;&gt;"",OR(C510="",C510=0))</formula>
    </cfRule>
  </conditionalFormatting>
  <pageMargins left="0.75" right="0.75" top="1" bottom="1" header="0.5" footer="0.5"/>
  <pageSetup paperSize="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Q29"/>
  <sheetViews>
    <sheetView showGridLines="0" zoomScaleNormal="100" workbookViewId="0">
      <selection activeCell="C4" sqref="C4"/>
    </sheetView>
  </sheetViews>
  <sheetFormatPr baseColWidth="10" defaultColWidth="0" defaultRowHeight="14" zeroHeight="1" x14ac:dyDescent="0.3"/>
  <cols>
    <col min="1" max="1" width="5.1796875" style="5" customWidth="1"/>
    <col min="2" max="2" width="45.7265625" style="5" customWidth="1"/>
    <col min="3" max="8" width="14.26953125" style="5" customWidth="1"/>
    <col min="9" max="9" width="12.1796875" style="5" customWidth="1"/>
    <col min="10" max="10" width="10.81640625" style="5" customWidth="1"/>
    <col min="11" max="11" width="13.7265625" style="5" customWidth="1"/>
    <col min="12" max="12" width="10.81640625" style="5" customWidth="1"/>
    <col min="13" max="13" width="13.26953125" style="5" customWidth="1"/>
    <col min="14" max="14" width="0.7265625" style="5" customWidth="1"/>
    <col min="15" max="16384" width="10.81640625" style="5" hidden="1"/>
  </cols>
  <sheetData>
    <row r="1" spans="1:17" ht="23.5" thickBot="1" x14ac:dyDescent="0.35">
      <c r="A1" s="465" t="str">
        <f ca="1">Tags!B38</f>
        <v>Gesamtbewertung</v>
      </c>
      <c r="B1" s="466"/>
      <c r="C1" s="469">
        <f>'General Info'!C8</f>
        <v>0</v>
      </c>
      <c r="D1" s="466"/>
      <c r="E1" s="466"/>
      <c r="F1" s="466"/>
      <c r="G1" s="466"/>
      <c r="H1" s="466"/>
      <c r="I1" s="467"/>
      <c r="J1" s="466"/>
      <c r="K1" s="466"/>
      <c r="L1" s="470" t="str">
        <f ca="1">Tags!B49</f>
        <v>% Vollständigkeit</v>
      </c>
      <c r="M1" s="471">
        <f ca="1">E22/D22</f>
        <v>0</v>
      </c>
    </row>
    <row r="2" spans="1:17" x14ac:dyDescent="0.3">
      <c r="A2" s="13"/>
      <c r="B2" s="13"/>
      <c r="C2" s="13"/>
      <c r="D2" s="13"/>
      <c r="E2" s="13"/>
      <c r="F2" s="13"/>
      <c r="G2" s="13"/>
      <c r="H2" s="13"/>
      <c r="I2" s="13"/>
      <c r="J2" s="13"/>
      <c r="K2" s="13"/>
      <c r="L2" s="13"/>
      <c r="M2" s="13"/>
    </row>
    <row r="3" spans="1:17" ht="54" customHeight="1" x14ac:dyDescent="0.3">
      <c r="A3" s="669" t="str">
        <f ca="1">Tags!B39</f>
        <v>Kategorie</v>
      </c>
      <c r="B3" s="670"/>
      <c r="C3" s="129" t="str">
        <f ca="1">Tags!B40</f>
        <v>Anzahl der Positionen</v>
      </c>
      <c r="D3" s="109" t="str">
        <f ca="1">Tags!B41</f>
        <v>Anzahl der Übereinstimmungen</v>
      </c>
      <c r="E3" s="109" t="str">
        <f ca="1">Tags!B42</f>
        <v>Anzahl der Mängel</v>
      </c>
      <c r="F3" s="22" t="str">
        <f ca="1">Tags!B43</f>
        <v>zu vervollständigen</v>
      </c>
      <c r="G3" s="13"/>
      <c r="H3" s="55"/>
      <c r="I3" s="55"/>
      <c r="J3" s="55"/>
      <c r="K3" s="55"/>
      <c r="L3" s="13"/>
      <c r="M3" s="30" t="str">
        <f ca="1">M6</f>
        <v>Status</v>
      </c>
    </row>
    <row r="4" spans="1:17" x14ac:dyDescent="0.3">
      <c r="A4" s="53">
        <v>1</v>
      </c>
      <c r="B4" s="76" t="str">
        <f ca="1">'1. Mandatory Conditions'!C1</f>
        <v>Erforderliche Mindestkriterien</v>
      </c>
      <c r="C4" s="53">
        <f>'1. Mandatory Conditions'!E16+'1. Mandatory Conditions'!E17+'1. Mandatory Conditions'!E18</f>
        <v>11</v>
      </c>
      <c r="D4" s="23">
        <f>'1. Mandatory Conditions'!E16</f>
        <v>0</v>
      </c>
      <c r="E4" s="23">
        <f>C4-D4</f>
        <v>11</v>
      </c>
      <c r="F4" s="54">
        <f>'1. Mandatory Conditions'!E18</f>
        <v>11</v>
      </c>
      <c r="G4" s="13"/>
      <c r="H4" s="21"/>
      <c r="I4" s="21"/>
      <c r="J4" s="21"/>
      <c r="K4" s="21"/>
      <c r="L4" s="13"/>
      <c r="M4" s="77" t="str">
        <f ca="1">IF(E4&gt;0,fail,IF(F4=0,pass,incomplete))</f>
        <v>nicht bestanden</v>
      </c>
    </row>
    <row r="5" spans="1:17" x14ac:dyDescent="0.3">
      <c r="A5" s="13"/>
      <c r="B5" s="13"/>
      <c r="C5" s="13"/>
      <c r="D5" s="13"/>
      <c r="E5" s="13"/>
      <c r="F5" s="13"/>
      <c r="G5" s="13"/>
      <c r="H5" s="13"/>
      <c r="I5" s="13"/>
      <c r="J5" s="13"/>
      <c r="K5" s="13"/>
      <c r="L5" s="13"/>
      <c r="M5" s="13"/>
    </row>
    <row r="6" spans="1:17" s="21" customFormat="1" ht="47.25" customHeight="1" x14ac:dyDescent="0.35">
      <c r="A6" s="669" t="str">
        <f ca="1">A3</f>
        <v>Kategorie</v>
      </c>
      <c r="B6" s="670"/>
      <c r="C6" s="109" t="str">
        <f ca="1">Tags!B30</f>
        <v>Summe der Positionen</v>
      </c>
      <c r="D6" s="109" t="str">
        <f ca="1">Tags!B31</f>
        <v>Summe der Positionen und Unterpositionen</v>
      </c>
      <c r="E6" s="109" t="str">
        <f ca="1">Tags!B32</f>
        <v>vollständige Positionen</v>
      </c>
      <c r="F6" s="109" t="str">
        <f ca="1">Tags!B33</f>
        <v>nicht gemessen</v>
      </c>
      <c r="G6" s="109" t="str">
        <f ca="1">Tags!B35</f>
        <v>Maximale Punktzahl</v>
      </c>
      <c r="H6" s="109" t="str">
        <f ca="1">Tags!B34</f>
        <v>Punktzahl</v>
      </c>
      <c r="I6" s="48" t="str">
        <f ca="1">Tags!B44</f>
        <v>% erreicht</v>
      </c>
      <c r="J6" s="44" t="str">
        <f ca="1">Tags!B45</f>
        <v>Minimum</v>
      </c>
      <c r="K6" s="30" t="str">
        <f ca="1">Tags!B46</f>
        <v>Punktzahl der Kategorie</v>
      </c>
      <c r="L6" s="30" t="str">
        <f ca="1">Tags!B47</f>
        <v>erreichte Punktzahl</v>
      </c>
      <c r="M6" s="44" t="str">
        <f ca="1">Tags!B48</f>
        <v>Status</v>
      </c>
    </row>
    <row r="7" spans="1:17" s="13" customFormat="1" ht="15" customHeight="1" x14ac:dyDescent="0.35">
      <c r="A7" s="39">
        <f>'2. Lighting'!$A$1</f>
        <v>2</v>
      </c>
      <c r="B7" s="71" t="str">
        <f ca="1">'2. Lighting'!$D$1</f>
        <v>Beleuchtung</v>
      </c>
      <c r="C7" s="39">
        <f>'2. Lighting'!$E$24</f>
        <v>8</v>
      </c>
      <c r="D7" s="24">
        <f>'2. Lighting'!$E$25</f>
        <v>17</v>
      </c>
      <c r="E7" s="25">
        <f>'2. Lighting'!$E$26</f>
        <v>0</v>
      </c>
      <c r="F7" s="25">
        <f>'2. Lighting'!$E$27</f>
        <v>17</v>
      </c>
      <c r="G7" s="25">
        <f>'2. Lighting'!$I$25</f>
        <v>46</v>
      </c>
      <c r="H7" s="25">
        <f>'2. Lighting'!$I$24</f>
        <v>0</v>
      </c>
      <c r="I7" s="49">
        <f>+H7/G7</f>
        <v>0</v>
      </c>
      <c r="J7" s="46">
        <v>0.4</v>
      </c>
      <c r="K7" s="31">
        <v>16</v>
      </c>
      <c r="L7" s="36">
        <f t="shared" ref="L7:L15" si="0">I7*K7</f>
        <v>0</v>
      </c>
      <c r="M7" s="72" t="str">
        <f t="shared" ref="M7:M15" ca="1" si="1">IF(I7&gt;=J7,pass,IF(F7=0,fail,incomplete))</f>
        <v>unvollständig</v>
      </c>
      <c r="N7" s="21"/>
      <c r="O7" s="21"/>
      <c r="P7" s="21"/>
      <c r="Q7" s="21"/>
    </row>
    <row r="8" spans="1:17" s="13" customFormat="1" ht="15" customHeight="1" x14ac:dyDescent="0.35">
      <c r="A8" s="40">
        <f>'3. Entry Exit'!$A$1</f>
        <v>3</v>
      </c>
      <c r="B8" s="13" t="str">
        <f ca="1">'3. Entry Exit'!$D$1</f>
        <v>Einfahrt / Ausfahrt</v>
      </c>
      <c r="C8" s="40">
        <f>'3. Entry Exit'!$E$35</f>
        <v>12</v>
      </c>
      <c r="D8" s="21">
        <f>'3. Entry Exit'!$E$36</f>
        <v>24</v>
      </c>
      <c r="E8" s="26">
        <f>'3. Entry Exit'!$E$37</f>
        <v>0</v>
      </c>
      <c r="F8" s="26">
        <f>'3. Entry Exit'!$E$38</f>
        <v>24</v>
      </c>
      <c r="G8" s="26">
        <f>'3. Entry Exit'!$I$36</f>
        <v>31</v>
      </c>
      <c r="H8" s="26">
        <f>'3. Entry Exit'!$I$35</f>
        <v>0</v>
      </c>
      <c r="I8" s="50">
        <f t="shared" ref="I8:I15" si="2">+H8/G8</f>
        <v>0</v>
      </c>
      <c r="J8" s="51">
        <v>0.4</v>
      </c>
      <c r="K8" s="32">
        <v>8</v>
      </c>
      <c r="L8" s="42">
        <f t="shared" si="0"/>
        <v>0</v>
      </c>
      <c r="M8" s="73" t="str">
        <f t="shared" ca="1" si="1"/>
        <v>unvollständig</v>
      </c>
      <c r="N8" s="21"/>
      <c r="O8" s="21"/>
      <c r="P8" s="21"/>
      <c r="Q8" s="21"/>
    </row>
    <row r="9" spans="1:17" s="13" customFormat="1" ht="15" customHeight="1" x14ac:dyDescent="0.35">
      <c r="A9" s="40">
        <f>'4. Parking Area'!$A$1</f>
        <v>4</v>
      </c>
      <c r="B9" s="13" t="str">
        <f ca="1">'4. Parking Area'!$D$1</f>
        <v>Parkbereich</v>
      </c>
      <c r="C9" s="40">
        <f>'4. Parking Area'!$E$38</f>
        <v>11</v>
      </c>
      <c r="D9" s="21">
        <f>'4. Parking Area'!$E$39</f>
        <v>24</v>
      </c>
      <c r="E9" s="26">
        <f>'4. Parking Area'!$E$40</f>
        <v>0</v>
      </c>
      <c r="F9" s="26">
        <f>'4. Parking Area'!$E$41</f>
        <v>24</v>
      </c>
      <c r="G9" s="26">
        <f>'4. Parking Area'!$I$39</f>
        <v>46</v>
      </c>
      <c r="H9" s="26">
        <f>'4. Parking Area'!$I$38</f>
        <v>0</v>
      </c>
      <c r="I9" s="50">
        <f t="shared" si="2"/>
        <v>0</v>
      </c>
      <c r="J9" s="51">
        <v>0.4</v>
      </c>
      <c r="K9" s="32">
        <v>18</v>
      </c>
      <c r="L9" s="42">
        <f t="shared" si="0"/>
        <v>0</v>
      </c>
      <c r="M9" s="73" t="str">
        <f t="shared" ca="1" si="1"/>
        <v>unvollständig</v>
      </c>
      <c r="N9" s="21"/>
      <c r="O9" s="21"/>
      <c r="P9" s="21"/>
      <c r="Q9" s="21"/>
    </row>
    <row r="10" spans="1:17" s="13" customFormat="1" ht="15" customHeight="1" x14ac:dyDescent="0.35">
      <c r="A10" s="40">
        <f>'5. Ramps'!$A$1</f>
        <v>5</v>
      </c>
      <c r="B10" s="13" t="str">
        <f ca="1">'5. Ramps'!$D$1</f>
        <v>Auf-/Abfahrtsrampen</v>
      </c>
      <c r="C10" s="40">
        <f>'5. Ramps'!$E$14</f>
        <v>6</v>
      </c>
      <c r="D10" s="21">
        <f>'5. Ramps'!$E$15</f>
        <v>7</v>
      </c>
      <c r="E10" s="26">
        <f>'5. Ramps'!$E$16</f>
        <v>0</v>
      </c>
      <c r="F10" s="26">
        <f>'5. Ramps'!$E$17</f>
        <v>7</v>
      </c>
      <c r="G10" s="26">
        <f>'5. Ramps'!$I$15</f>
        <v>14</v>
      </c>
      <c r="H10" s="26">
        <f>'5. Ramps'!$I$14</f>
        <v>0</v>
      </c>
      <c r="I10" s="50">
        <f t="shared" si="2"/>
        <v>0</v>
      </c>
      <c r="J10" s="51">
        <v>0.4</v>
      </c>
      <c r="K10" s="32">
        <v>8</v>
      </c>
      <c r="L10" s="42">
        <f t="shared" si="0"/>
        <v>0</v>
      </c>
      <c r="M10" s="73" t="str">
        <f t="shared" ca="1" si="1"/>
        <v>unvollständig</v>
      </c>
      <c r="N10" s="21"/>
      <c r="O10" s="21"/>
      <c r="P10" s="21"/>
      <c r="Q10" s="21"/>
    </row>
    <row r="11" spans="1:17" s="13" customFormat="1" ht="15" customHeight="1" x14ac:dyDescent="0.35">
      <c r="A11" s="40">
        <f>'6. Pedestrian Access'!$A$1</f>
        <v>6</v>
      </c>
      <c r="B11" s="13" t="str">
        <f ca="1">'6. Pedestrian Access'!$D$1</f>
        <v>Fußgängerzugang</v>
      </c>
      <c r="C11" s="40">
        <f>'6. Pedestrian Access'!$E$33</f>
        <v>13</v>
      </c>
      <c r="D11" s="21">
        <f>'6. Pedestrian Access'!$E$34</f>
        <v>23</v>
      </c>
      <c r="E11" s="26">
        <f>'6. Pedestrian Access'!$E$35</f>
        <v>0</v>
      </c>
      <c r="F11" s="26">
        <f>'6. Pedestrian Access'!$E$36</f>
        <v>23</v>
      </c>
      <c r="G11" s="26">
        <f>'6. Pedestrian Access'!$I$34</f>
        <v>43</v>
      </c>
      <c r="H11" s="26">
        <f>'6. Pedestrian Access'!$I$33</f>
        <v>0</v>
      </c>
      <c r="I11" s="50">
        <f t="shared" si="2"/>
        <v>0</v>
      </c>
      <c r="J11" s="51">
        <v>0.4</v>
      </c>
      <c r="K11" s="32">
        <v>16</v>
      </c>
      <c r="L11" s="42">
        <f t="shared" si="0"/>
        <v>0</v>
      </c>
      <c r="M11" s="73" t="str">
        <f t="shared" ca="1" si="1"/>
        <v>unvollständig</v>
      </c>
      <c r="N11" s="21"/>
      <c r="O11" s="21"/>
      <c r="P11" s="21"/>
      <c r="Q11" s="21"/>
    </row>
    <row r="12" spans="1:17" s="13" customFormat="1" ht="15" customHeight="1" x14ac:dyDescent="0.35">
      <c r="A12" s="40">
        <v>7</v>
      </c>
      <c r="B12" s="13" t="str">
        <f ca="1">'7. Security equipment'!$D$1</f>
        <v>Sicherheitsausstattung</v>
      </c>
      <c r="C12" s="40">
        <f>'7. Security equipment'!$E$25</f>
        <v>8</v>
      </c>
      <c r="D12" s="21">
        <f>'7. Security equipment'!$E$26</f>
        <v>16</v>
      </c>
      <c r="E12" s="26">
        <f>'7. Security equipment'!$E$27</f>
        <v>0</v>
      </c>
      <c r="F12" s="26">
        <f>'7. Security equipment'!$E$28</f>
        <v>16</v>
      </c>
      <c r="G12" s="26">
        <f>'7. Security equipment'!$I$26</f>
        <v>35</v>
      </c>
      <c r="H12" s="26">
        <f>'7. Security equipment'!$I$25</f>
        <v>0</v>
      </c>
      <c r="I12" s="50">
        <f t="shared" si="2"/>
        <v>0</v>
      </c>
      <c r="J12" s="51">
        <v>0.4</v>
      </c>
      <c r="K12" s="32">
        <v>8</v>
      </c>
      <c r="L12" s="42">
        <f t="shared" si="0"/>
        <v>0</v>
      </c>
      <c r="M12" s="73" t="str">
        <f t="shared" ca="1" si="1"/>
        <v>unvollständig</v>
      </c>
      <c r="N12" s="21"/>
      <c r="O12" s="21"/>
      <c r="P12" s="21"/>
      <c r="Q12" s="21"/>
    </row>
    <row r="13" spans="1:17" s="13" customFormat="1" ht="15" customHeight="1" x14ac:dyDescent="0.35">
      <c r="A13" s="40">
        <v>8</v>
      </c>
      <c r="B13" s="13" t="str">
        <f ca="1">'8. Wayfinding'!$D$1</f>
        <v>Wegweisung innerhalb/außerhalb der Parkeinrichtung</v>
      </c>
      <c r="C13" s="40">
        <f>'8. Wayfinding'!$E$29</f>
        <v>11</v>
      </c>
      <c r="D13" s="21">
        <f>'8. Wayfinding'!$E$30</f>
        <v>18</v>
      </c>
      <c r="E13" s="26">
        <f>'8. Wayfinding'!$E$31</f>
        <v>0</v>
      </c>
      <c r="F13" s="26">
        <f>'8. Wayfinding'!$E$32</f>
        <v>18</v>
      </c>
      <c r="G13" s="26">
        <f>'8. Wayfinding'!$I$30</f>
        <v>33</v>
      </c>
      <c r="H13" s="26">
        <f>'8. Wayfinding'!$I$29</f>
        <v>0</v>
      </c>
      <c r="I13" s="50">
        <f t="shared" si="2"/>
        <v>0</v>
      </c>
      <c r="J13" s="51">
        <v>0.4</v>
      </c>
      <c r="K13" s="32">
        <v>8</v>
      </c>
      <c r="L13" s="42">
        <f t="shared" si="0"/>
        <v>0</v>
      </c>
      <c r="M13" s="73" t="str">
        <f t="shared" ca="1" si="1"/>
        <v>unvollständig</v>
      </c>
      <c r="N13" s="21"/>
      <c r="O13" s="21"/>
      <c r="P13" s="21"/>
      <c r="Q13" s="21"/>
    </row>
    <row r="14" spans="1:17" s="13" customFormat="1" ht="15" customHeight="1" x14ac:dyDescent="0.35">
      <c r="A14" s="40">
        <v>9</v>
      </c>
      <c r="B14" s="13" t="str">
        <f ca="1">'9. Comfort'!$D$1</f>
        <v>Komfort und Verschiedenes</v>
      </c>
      <c r="C14" s="40">
        <f>'9. Comfort'!$E$49</f>
        <v>13</v>
      </c>
      <c r="D14" s="21">
        <f>'9. Comfort'!$E$50</f>
        <v>33</v>
      </c>
      <c r="E14" s="26">
        <f>'9. Comfort'!$E$51</f>
        <v>0</v>
      </c>
      <c r="F14" s="26">
        <f>'9. Comfort'!$E$52</f>
        <v>33</v>
      </c>
      <c r="G14" s="26">
        <f>'9. Comfort'!$I$50</f>
        <v>44</v>
      </c>
      <c r="H14" s="26">
        <f>'9. Comfort'!$I$49</f>
        <v>3</v>
      </c>
      <c r="I14" s="50">
        <f t="shared" si="2"/>
        <v>6.8181818181818177E-2</v>
      </c>
      <c r="J14" s="51">
        <v>0.3</v>
      </c>
      <c r="K14" s="32">
        <v>8</v>
      </c>
      <c r="L14" s="42">
        <f t="shared" si="0"/>
        <v>0.54545454545454541</v>
      </c>
      <c r="M14" s="73" t="str">
        <f t="shared" ca="1" si="1"/>
        <v>unvollständig</v>
      </c>
      <c r="N14" s="21"/>
      <c r="O14" s="21"/>
      <c r="P14" s="21"/>
      <c r="Q14" s="21"/>
    </row>
    <row r="15" spans="1:17" s="13" customFormat="1" ht="15" customHeight="1" x14ac:dyDescent="0.35">
      <c r="A15" s="41">
        <v>10</v>
      </c>
      <c r="B15" s="74" t="str">
        <f ca="1">'10. Energy Environment'!$D$1</f>
        <v>Energie und Umwelt</v>
      </c>
      <c r="C15" s="41">
        <f>'10. Energy Environment'!$E$31</f>
        <v>11</v>
      </c>
      <c r="D15" s="27">
        <f>'10. Energy Environment'!$E$32</f>
        <v>0</v>
      </c>
      <c r="E15" s="28">
        <f>'10. Energy Environment'!$E$33</f>
        <v>0</v>
      </c>
      <c r="F15" s="28">
        <f>'10. Energy Environment'!$E$34</f>
        <v>0</v>
      </c>
      <c r="G15" s="28">
        <f>'10. Energy Environment'!$I$32</f>
        <v>38</v>
      </c>
      <c r="H15" s="28">
        <f>'10. Energy Environment'!$I$31</f>
        <v>0</v>
      </c>
      <c r="I15" s="52">
        <f t="shared" si="2"/>
        <v>0</v>
      </c>
      <c r="J15" s="47">
        <v>0.2</v>
      </c>
      <c r="K15" s="33">
        <v>10</v>
      </c>
      <c r="L15" s="43">
        <f t="shared" si="0"/>
        <v>0</v>
      </c>
      <c r="M15" s="75" t="str">
        <f t="shared" ca="1" si="1"/>
        <v>nicht bestanden</v>
      </c>
      <c r="N15" s="21"/>
      <c r="O15" s="21"/>
      <c r="P15" s="21"/>
      <c r="Q15" s="21"/>
    </row>
    <row r="16" spans="1:17" x14ac:dyDescent="0.3">
      <c r="A16" s="689" t="str">
        <f ca="1">Tags!B50</f>
        <v>Zwischensummen</v>
      </c>
      <c r="B16" s="690"/>
      <c r="C16" s="536">
        <f t="shared" ref="C16:H16" si="3">SUM(C7:C15)</f>
        <v>93</v>
      </c>
      <c r="D16" s="537">
        <f t="shared" si="3"/>
        <v>162</v>
      </c>
      <c r="E16" s="537">
        <f t="shared" si="3"/>
        <v>0</v>
      </c>
      <c r="F16" s="537">
        <f t="shared" si="3"/>
        <v>162</v>
      </c>
      <c r="G16" s="537">
        <f t="shared" si="3"/>
        <v>330</v>
      </c>
      <c r="H16" s="538">
        <f t="shared" si="3"/>
        <v>3</v>
      </c>
      <c r="I16" s="45"/>
      <c r="J16" s="45"/>
      <c r="K16" s="139">
        <f>SUM(K7:K15)</f>
        <v>100</v>
      </c>
      <c r="L16" s="139">
        <f>SUM(L7:L15)</f>
        <v>0.54545454545454541</v>
      </c>
      <c r="M16" s="13"/>
      <c r="N16" s="21"/>
      <c r="O16" s="21"/>
      <c r="P16" s="21"/>
      <c r="Q16" s="21"/>
    </row>
    <row r="17" spans="1:16" x14ac:dyDescent="0.3">
      <c r="A17" s="13"/>
      <c r="B17" s="13"/>
      <c r="C17" s="13"/>
      <c r="D17" s="13"/>
      <c r="E17" s="13"/>
      <c r="F17" s="13"/>
      <c r="G17" s="13"/>
      <c r="H17" s="13"/>
      <c r="I17" s="13"/>
      <c r="J17" s="13"/>
      <c r="K17" s="13"/>
      <c r="L17" s="13"/>
      <c r="M17" s="21"/>
      <c r="N17" s="21"/>
      <c r="O17" s="21"/>
      <c r="P17" s="21"/>
    </row>
    <row r="18" spans="1:16" x14ac:dyDescent="0.3">
      <c r="A18" s="39" t="str">
        <f>Minus!$A$1</f>
        <v>M</v>
      </c>
      <c r="B18" s="71" t="str">
        <f ca="1">Minus!$D$1</f>
        <v>Minuspunkte</v>
      </c>
      <c r="C18" s="39">
        <f>Minus!$E$34</f>
        <v>8</v>
      </c>
      <c r="D18" s="24">
        <f>Minus!$E$35</f>
        <v>23</v>
      </c>
      <c r="E18" s="25">
        <f>Minus!$E$36</f>
        <v>0</v>
      </c>
      <c r="F18" s="25">
        <f>Minus!$E$37</f>
        <v>23</v>
      </c>
      <c r="G18" s="25">
        <f>Minus!I35</f>
        <v>-62</v>
      </c>
      <c r="H18" s="25">
        <f>Minus!I34</f>
        <v>0</v>
      </c>
      <c r="I18" s="140">
        <f>H18/G18</f>
        <v>0</v>
      </c>
      <c r="J18" s="13"/>
      <c r="K18" s="31">
        <v>-15</v>
      </c>
      <c r="L18" s="36">
        <f>K18*I18</f>
        <v>0</v>
      </c>
      <c r="M18" s="21"/>
      <c r="N18" s="21"/>
      <c r="O18" s="21"/>
      <c r="P18" s="21"/>
    </row>
    <row r="19" spans="1:16" x14ac:dyDescent="0.3">
      <c r="A19" s="41" t="str">
        <f>Bonus!$A$1</f>
        <v>B</v>
      </c>
      <c r="B19" s="74" t="str">
        <f ca="1">Bonus!$D$1</f>
        <v>Bonuspunkte</v>
      </c>
      <c r="C19" s="41">
        <f>Bonus!$E$32</f>
        <v>13</v>
      </c>
      <c r="D19" s="27">
        <f ca="1">Bonus!$E$33</f>
        <v>23</v>
      </c>
      <c r="E19" s="28">
        <f>Bonus!$E$34</f>
        <v>0</v>
      </c>
      <c r="F19" s="28">
        <f ca="1">Bonus!$E$35</f>
        <v>23</v>
      </c>
      <c r="G19" s="28">
        <f>Bonus!I33</f>
        <v>24</v>
      </c>
      <c r="H19" s="28">
        <f>Bonus!I32</f>
        <v>0</v>
      </c>
      <c r="I19" s="141">
        <f>H19/G19</f>
        <v>0</v>
      </c>
      <c r="J19" s="13"/>
      <c r="K19" s="33">
        <v>15</v>
      </c>
      <c r="L19" s="43">
        <f>I19*K19</f>
        <v>0</v>
      </c>
      <c r="M19" s="21"/>
      <c r="N19" s="21"/>
      <c r="O19" s="21"/>
      <c r="P19" s="21"/>
    </row>
    <row r="20" spans="1:16" x14ac:dyDescent="0.3">
      <c r="A20" s="689" t="str">
        <f ca="1">A16</f>
        <v>Zwischensummen</v>
      </c>
      <c r="B20" s="690"/>
      <c r="C20" s="536">
        <f>SUM(C18:C19)</f>
        <v>21</v>
      </c>
      <c r="D20" s="537">
        <f t="shared" ref="D20:H20" ca="1" si="4">SUM(D18:D19)</f>
        <v>46</v>
      </c>
      <c r="E20" s="537">
        <f t="shared" si="4"/>
        <v>0</v>
      </c>
      <c r="F20" s="537">
        <f t="shared" ca="1" si="4"/>
        <v>46</v>
      </c>
      <c r="G20" s="537">
        <f t="shared" si="4"/>
        <v>-38</v>
      </c>
      <c r="H20" s="538">
        <f t="shared" si="4"/>
        <v>0</v>
      </c>
      <c r="I20" s="13"/>
      <c r="J20" s="13"/>
      <c r="K20" s="139">
        <f>SUM(K18:K19)</f>
        <v>0</v>
      </c>
      <c r="L20" s="139">
        <f>SUM(L18:L19)</f>
        <v>0</v>
      </c>
      <c r="M20" s="21"/>
      <c r="N20" s="21"/>
      <c r="O20" s="21"/>
      <c r="P20" s="21"/>
    </row>
    <row r="21" spans="1:16" x14ac:dyDescent="0.3">
      <c r="A21" s="21"/>
      <c r="B21" s="21"/>
      <c r="C21" s="21"/>
      <c r="D21" s="21"/>
      <c r="E21" s="21"/>
      <c r="F21" s="21"/>
      <c r="G21" s="21"/>
      <c r="H21" s="21"/>
      <c r="I21" s="21"/>
      <c r="J21" s="21"/>
      <c r="K21" s="21"/>
      <c r="L21" s="21"/>
      <c r="M21" s="21"/>
      <c r="N21" s="21"/>
      <c r="O21" s="21"/>
      <c r="P21" s="21"/>
    </row>
    <row r="22" spans="1:16" ht="15.5" x14ac:dyDescent="0.3">
      <c r="A22" s="644" t="str">
        <f ca="1">Tags!B51</f>
        <v>Summen</v>
      </c>
      <c r="B22" s="646"/>
      <c r="C22" s="460">
        <f t="shared" ref="C22:H22" si="5">C20+C16</f>
        <v>114</v>
      </c>
      <c r="D22" s="461">
        <f t="shared" ca="1" si="5"/>
        <v>208</v>
      </c>
      <c r="E22" s="461">
        <f t="shared" si="5"/>
        <v>0</v>
      </c>
      <c r="F22" s="461">
        <f t="shared" ca="1" si="5"/>
        <v>208</v>
      </c>
      <c r="G22" s="461">
        <f t="shared" si="5"/>
        <v>292</v>
      </c>
      <c r="H22" s="539">
        <f t="shared" si="5"/>
        <v>3</v>
      </c>
      <c r="I22" s="13"/>
      <c r="J22" s="13"/>
      <c r="K22" s="139">
        <f>K16+K20</f>
        <v>100</v>
      </c>
      <c r="L22" s="139">
        <f>L16+L20</f>
        <v>0.54545454545454541</v>
      </c>
      <c r="M22" s="21"/>
      <c r="N22" s="21"/>
      <c r="O22" s="21"/>
      <c r="P22" s="21"/>
    </row>
    <row r="23" spans="1:16" hidden="1" x14ac:dyDescent="0.3">
      <c r="A23" s="13"/>
      <c r="B23" s="13"/>
      <c r="C23" s="13"/>
      <c r="D23" s="13"/>
      <c r="E23" s="13"/>
      <c r="F23" s="13"/>
      <c r="G23" s="13"/>
      <c r="H23" s="13"/>
      <c r="I23" s="13"/>
      <c r="J23" s="13"/>
      <c r="K23" s="13"/>
      <c r="L23" s="13"/>
      <c r="M23" s="21"/>
      <c r="N23" s="21"/>
      <c r="O23" s="21"/>
      <c r="P23" s="21"/>
    </row>
    <row r="24" spans="1:16" ht="23.25" hidden="1" customHeight="1" x14ac:dyDescent="0.3">
      <c r="A24" s="702" t="str">
        <f ca="1">UPPER(Tags!B52)</f>
        <v>MINDESTANFORDERUNG FÜR ESPA AWARD</v>
      </c>
      <c r="B24" s="703"/>
      <c r="C24" s="703"/>
      <c r="D24" s="704"/>
      <c r="E24" s="708">
        <v>0.5</v>
      </c>
      <c r="F24" s="671" t="str">
        <f ca="1">UPPER(B4)</f>
        <v>ERFORDERLICHE MINDESTKRITERIEN</v>
      </c>
      <c r="G24" s="672"/>
      <c r="H24" s="672"/>
      <c r="I24" s="673"/>
      <c r="J24" s="680" t="str">
        <f ca="1">IF(M4=pass,"OK",IF(M4=fail,"KO","-"))</f>
        <v>KO</v>
      </c>
      <c r="K24" s="659" t="str">
        <f ca="1">UPPER(Tags!B54)</f>
        <v>ESPA AWARD</v>
      </c>
      <c r="L24" s="659"/>
      <c r="M24" s="660"/>
    </row>
    <row r="25" spans="1:16" ht="23.25" hidden="1" customHeight="1" x14ac:dyDescent="0.3">
      <c r="A25" s="694"/>
      <c r="B25" s="695"/>
      <c r="C25" s="695"/>
      <c r="D25" s="696"/>
      <c r="E25" s="700"/>
      <c r="F25" s="674"/>
      <c r="G25" s="675"/>
      <c r="H25" s="675"/>
      <c r="I25" s="676"/>
      <c r="J25" s="681"/>
      <c r="K25" s="661"/>
      <c r="L25" s="661"/>
      <c r="M25" s="662"/>
    </row>
    <row r="26" spans="1:16" ht="23.25" hidden="1" customHeight="1" x14ac:dyDescent="0.3">
      <c r="A26" s="705"/>
      <c r="B26" s="706"/>
      <c r="C26" s="706"/>
      <c r="D26" s="707"/>
      <c r="E26" s="700"/>
      <c r="F26" s="677"/>
      <c r="G26" s="678"/>
      <c r="H26" s="678"/>
      <c r="I26" s="679"/>
      <c r="J26" s="681"/>
      <c r="K26" s="661"/>
      <c r="L26" s="661"/>
      <c r="M26" s="662"/>
    </row>
    <row r="27" spans="1:16" ht="21" hidden="1" customHeight="1" x14ac:dyDescent="0.3">
      <c r="A27" s="691" t="str">
        <f ca="1">UPPER(Tags!B44)</f>
        <v>% ERREICHT</v>
      </c>
      <c r="B27" s="692"/>
      <c r="C27" s="692"/>
      <c r="D27" s="693"/>
      <c r="E27" s="700">
        <f>L22/K22</f>
        <v>5.4545454545454541E-3</v>
      </c>
      <c r="F27" s="682" t="str">
        <f ca="1">UPPER(Tags!B53)</f>
        <v>MINDESTPUNKTZAHL DIESER KATEGORIE</v>
      </c>
      <c r="G27" s="683"/>
      <c r="H27" s="683"/>
      <c r="I27" s="684"/>
      <c r="J27" s="681" t="str">
        <f ca="1">IF(COUNTIF(M7:M15,pass)&lt;9,"KO","OK")</f>
        <v>KO</v>
      </c>
      <c r="K27" s="663" t="str">
        <f ca="1">UPPER(IF(AND(E27&gt;=E24,J24="OK",J27="OK"),yes,IF(OR(E27&lt;E24,J24="KO",J27="KO"),no,"NA")))</f>
        <v>NEIN</v>
      </c>
      <c r="L27" s="663"/>
      <c r="M27" s="664"/>
    </row>
    <row r="28" spans="1:16" ht="21" hidden="1" customHeight="1" x14ac:dyDescent="0.3">
      <c r="A28" s="694"/>
      <c r="B28" s="695"/>
      <c r="C28" s="695"/>
      <c r="D28" s="696"/>
      <c r="E28" s="700"/>
      <c r="F28" s="674"/>
      <c r="G28" s="675"/>
      <c r="H28" s="675"/>
      <c r="I28" s="676"/>
      <c r="J28" s="681"/>
      <c r="K28" s="665"/>
      <c r="L28" s="665"/>
      <c r="M28" s="666"/>
    </row>
    <row r="29" spans="1:16" ht="22" hidden="1" customHeight="1" thickBot="1" x14ac:dyDescent="0.35">
      <c r="A29" s="697"/>
      <c r="B29" s="698"/>
      <c r="C29" s="698"/>
      <c r="D29" s="699"/>
      <c r="E29" s="701"/>
      <c r="F29" s="685"/>
      <c r="G29" s="686"/>
      <c r="H29" s="686"/>
      <c r="I29" s="687"/>
      <c r="J29" s="688"/>
      <c r="K29" s="667"/>
      <c r="L29" s="667"/>
      <c r="M29" s="668"/>
    </row>
  </sheetData>
  <sheetProtection algorithmName="SHA-512" hashValue="rfs0pUW8TJ3f2AiByJ3KdskrcK/1MWSRS9c9pOjNuLwBa0Di5YHzXOuIRlz4Uh9nfIRcsOM/rjCNhj1/ios9oQ==" saltValue="gaiBeWKn9H5s3O49tBviow==" spinCount="100000" sheet="1" objects="1" scenarios="1" selectLockedCells="1"/>
  <mergeCells count="15">
    <mergeCell ref="K24:M26"/>
    <mergeCell ref="K27:M29"/>
    <mergeCell ref="A3:B3"/>
    <mergeCell ref="A6:B6"/>
    <mergeCell ref="F24:I26"/>
    <mergeCell ref="J24:J26"/>
    <mergeCell ref="F27:I29"/>
    <mergeCell ref="J27:J29"/>
    <mergeCell ref="A16:B16"/>
    <mergeCell ref="A20:B20"/>
    <mergeCell ref="A27:D29"/>
    <mergeCell ref="E27:E29"/>
    <mergeCell ref="A24:D26"/>
    <mergeCell ref="E24:E26"/>
    <mergeCell ref="A22:B22"/>
  </mergeCells>
  <phoneticPr fontId="24" type="noConversion"/>
  <printOptions horizontalCentered="1"/>
  <pageMargins left="0.71" right="0.71" top="0.75000000000000011" bottom="0.75000000000000011" header="0.31" footer="0.31"/>
  <pageSetup paperSize="9" scale="62" orientation="landscape" horizontalDpi="300" verticalDpi="300"/>
  <headerFooter>
    <oddHeader>&amp;L&amp;"Calibri,Bold"&amp;K000000EPA - Checklist for the European Standard Parking Award</oddHeader>
    <oddFooter>&amp;L&amp;K000000[File]&amp;A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K37"/>
  <sheetViews>
    <sheetView showGridLines="0" zoomScaleNormal="100" workbookViewId="0">
      <selection activeCell="E4" sqref="E4"/>
    </sheetView>
  </sheetViews>
  <sheetFormatPr baseColWidth="10" defaultColWidth="0" defaultRowHeight="14" zeroHeight="1" x14ac:dyDescent="0.3"/>
  <cols>
    <col min="1" max="1" width="4.453125" style="5" bestFit="1" customWidth="1"/>
    <col min="2" max="2" width="4.453125" style="5" hidden="1" customWidth="1"/>
    <col min="3" max="3" width="76.26953125" style="5" customWidth="1"/>
    <col min="4" max="4" width="15.26953125" style="5" customWidth="1"/>
    <col min="5" max="5" width="14" style="5" customWidth="1"/>
    <col min="6" max="6" width="5.7265625" style="5" customWidth="1"/>
    <col min="7" max="7" width="61.453125" style="5" customWidth="1"/>
    <col min="8" max="8" width="0.453125" style="5" customWidth="1"/>
    <col min="9" max="11" width="0" style="5" hidden="1" customWidth="1"/>
    <col min="12" max="16384" width="8.81640625" style="5" hidden="1"/>
  </cols>
  <sheetData>
    <row r="1" spans="1:7" ht="23.5" thickBot="1" x14ac:dyDescent="0.35">
      <c r="A1" s="481">
        <v>1</v>
      </c>
      <c r="B1" s="482">
        <v>1</v>
      </c>
      <c r="C1" s="466" t="str">
        <f ca="1">VLOOKUP(B1,Questions!$D$4:$F$418,3,FALSE)</f>
        <v>Erforderliche Mindestkriterien</v>
      </c>
      <c r="D1" s="466"/>
      <c r="E1" s="466"/>
      <c r="F1" s="466"/>
      <c r="G1" s="576" t="str">
        <f ca="1">IF(E18&gt;0,Tags!B21,Tags!B20)</f>
        <v>unvollständig</v>
      </c>
    </row>
    <row r="2" spans="1:7" x14ac:dyDescent="0.3">
      <c r="A2" s="13"/>
      <c r="B2" s="13"/>
      <c r="C2" s="13"/>
      <c r="D2" s="13"/>
      <c r="E2" s="13"/>
      <c r="F2" s="13"/>
      <c r="G2" s="13"/>
    </row>
    <row r="3" spans="1:7" s="293" customFormat="1" ht="15.5" x14ac:dyDescent="0.35">
      <c r="A3" s="322" t="s">
        <v>2689</v>
      </c>
      <c r="B3" s="320">
        <v>52</v>
      </c>
      <c r="C3" s="713" t="str">
        <f ca="1">VLOOKUP(B3,Tags!$A$4:$B$152,2)</f>
        <v>Positionsliste</v>
      </c>
      <c r="D3" s="714"/>
      <c r="E3" s="321" t="str">
        <f ca="1">Tags!B22</f>
        <v>übereinstimmend</v>
      </c>
      <c r="F3" s="724" t="str">
        <f ca="1">Tags!B23</f>
        <v>Kommentare</v>
      </c>
      <c r="G3" s="725"/>
    </row>
    <row r="4" spans="1:7" ht="29.25" customHeight="1" x14ac:dyDescent="0.3">
      <c r="A4" s="373" t="s">
        <v>17</v>
      </c>
      <c r="B4" s="287" t="s">
        <v>17</v>
      </c>
      <c r="C4" s="718" t="str">
        <f ca="1">VLOOKUP(B4,Questions!$D$4:$F$418,3,FALSE)</f>
        <v>Die Parkeinrichtung muss öffentlich sein.</v>
      </c>
      <c r="D4" s="719"/>
      <c r="E4" s="288"/>
      <c r="F4" s="726"/>
      <c r="G4" s="727"/>
    </row>
    <row r="5" spans="1:7" ht="29.25" customHeight="1" x14ac:dyDescent="0.3">
      <c r="A5" s="374" t="s">
        <v>18</v>
      </c>
      <c r="B5" s="289" t="s">
        <v>18</v>
      </c>
      <c r="C5" s="720" t="str">
        <f ca="1">VLOOKUP(B5,Questions!$D$4:$F$418,3,FALSE)</f>
        <v>Mindestdurchfahrtshöhe = 1,90m im öffentlich zugänglichen Bereich. Einzelne niedrigere Stellen müssen deutlich gekennzeichnet sein.</v>
      </c>
      <c r="D5" s="721"/>
      <c r="E5" s="290"/>
      <c r="F5" s="709"/>
      <c r="G5" s="710"/>
    </row>
    <row r="6" spans="1:7" ht="29.25" customHeight="1" x14ac:dyDescent="0.3">
      <c r="A6" s="374" t="s">
        <v>19</v>
      </c>
      <c r="B6" s="289" t="s">
        <v>19</v>
      </c>
      <c r="C6" s="720" t="str">
        <f ca="1">VLOOKUP(B6,Questions!$D$4:$F$418,3,FALSE)</f>
        <v>Es muss mindestens eine getrennte Ein- und Ausfahrtsspur vorhanden sein. Zusätzliche, tageszeitlich in wechselnder Fahrtrichtung genutzte Wechselspuren sind zulässig.</v>
      </c>
      <c r="D6" s="721"/>
      <c r="E6" s="290"/>
      <c r="F6" s="709"/>
      <c r="G6" s="710"/>
    </row>
    <row r="7" spans="1:7" ht="38.25" customHeight="1" x14ac:dyDescent="0.3">
      <c r="A7" s="374" t="s">
        <v>20</v>
      </c>
      <c r="B7" s="289" t="s">
        <v>20</v>
      </c>
      <c r="C7" s="720" t="str">
        <f ca="1">VLOOKUP(B7,Questions!$D$4:$F$418,3,FALSE)</f>
        <v>70% der Stellplätze müssen zumindest 2,30m breit sein. Für renovierte Betriebe, die über 10 Jahre alt sind, beträgt die Mindestbreite 2,25 m ( in diesem Fall kommt ein Punkteabzug zur Anwendung - siehe M8)</v>
      </c>
      <c r="D7" s="721"/>
      <c r="E7" s="290"/>
      <c r="F7" s="709"/>
      <c r="G7" s="710"/>
    </row>
    <row r="8" spans="1:7" ht="39" customHeight="1" x14ac:dyDescent="0.3">
      <c r="A8" s="374" t="s">
        <v>21</v>
      </c>
      <c r="B8" s="289" t="s">
        <v>21</v>
      </c>
      <c r="C8" s="720" t="str">
        <f ca="1">VLOOKUP(B8,Questions!$D$4:$F$418,3,FALSE)</f>
        <v>Alle geraden Rampen mit Einbahnverkehr müssen mindestens 2,70 m breit sein. Rampen mit Gegenverkehr müssen mindestens 6,00 m breit sein und eine Fahrbahnmarkierung aufweisen. Die Messung erfolgt zwischen den Wänden oder Säulen.</v>
      </c>
      <c r="D8" s="721"/>
      <c r="E8" s="290"/>
      <c r="F8" s="709"/>
      <c r="G8" s="710"/>
    </row>
    <row r="9" spans="1:7" ht="43" customHeight="1" x14ac:dyDescent="0.3">
      <c r="A9" s="374" t="s">
        <v>22</v>
      </c>
      <c r="B9" s="289" t="s">
        <v>22</v>
      </c>
      <c r="C9" s="720" t="str">
        <f ca="1">VLOOKUP(B9,Questions!$D$4:$F$418,3,FALSE)</f>
        <v xml:space="preserve">Gekrümmte Rampen mit Einbahnverkehr müssen einen äußeren Kurvenradius von mindestens 8,00 m und eine Fahrbahnbreite von mindestens 3,50 m aufweisen. Bei Rampen mit Gegenverkehr gilt dies für die innere Fahrspur, während die äußere Fahrspur ebenfalls mindestens 3,50 m breit sein muss. </v>
      </c>
      <c r="D9" s="721"/>
      <c r="E9" s="290"/>
      <c r="F9" s="709"/>
      <c r="G9" s="710"/>
    </row>
    <row r="10" spans="1:7" ht="29.25" customHeight="1" x14ac:dyDescent="0.3">
      <c r="A10" s="374" t="s">
        <v>23</v>
      </c>
      <c r="B10" s="289" t="s">
        <v>23</v>
      </c>
      <c r="C10" s="720" t="str">
        <f ca="1">VLOOKUP(B10,Questions!$D$4:$F$418,3,FALSE)</f>
        <v>Rampen dürfen eine Steigung von 20% nicht überschreiten. Die Messung erfolgt in der Mitte der Fahrspur. Bei gekrümmten Rampen mit Gegenverkehr gilt das für die innere (steilste) Spur.</v>
      </c>
      <c r="D10" s="721"/>
      <c r="E10" s="290"/>
      <c r="F10" s="709"/>
      <c r="G10" s="710"/>
    </row>
    <row r="11" spans="1:7" ht="29.25" customHeight="1" x14ac:dyDescent="0.3">
      <c r="A11" s="374" t="s">
        <v>24</v>
      </c>
      <c r="B11" s="289" t="s">
        <v>24</v>
      </c>
      <c r="C11" s="720" t="str">
        <f ca="1">VLOOKUP(B11,Questions!$D$4:$F$418,3,FALSE)</f>
        <v>Wenn der Parkbetrieb entgeltlich geführt wird und die Bewirtschaftung über Schrankensysteme oder Tore erfolgt, muss Personal an den Bezahl-, Ausfahrts- und Zugangspunkten erreichbar sein.</v>
      </c>
      <c r="D11" s="721"/>
      <c r="E11" s="290"/>
      <c r="F11" s="709"/>
      <c r="G11" s="710"/>
    </row>
    <row r="12" spans="1:7" ht="29.5" customHeight="1" x14ac:dyDescent="0.3">
      <c r="A12" s="374" t="s">
        <v>25</v>
      </c>
      <c r="B12" s="289" t="s">
        <v>25</v>
      </c>
      <c r="C12" s="720" t="str">
        <f ca="1">VLOOKUP(B12,Questions!$D$4:$F$418,3,FALSE)</f>
        <v>Eine Quittung muss (zumindest) auf Kundenanforderung ausgegeben werden.</v>
      </c>
      <c r="D12" s="721"/>
      <c r="E12" s="290"/>
      <c r="F12" s="709"/>
      <c r="G12" s="710"/>
    </row>
    <row r="13" spans="1:7" ht="29.25" customHeight="1" x14ac:dyDescent="0.3">
      <c r="A13" s="374" t="s">
        <v>44</v>
      </c>
      <c r="B13" s="289" t="s">
        <v>44</v>
      </c>
      <c r="C13" s="720" t="str">
        <f ca="1">VLOOKUP(B13,Questions!$D$4:$F$418,3,FALSE)</f>
        <v>Alle Fahrmanöver müssen ohne Zurücksetzen des Fahrzeugs möglich sein. Ausnahmen sind Ein- und Ausparkmanöver oder Sackgassen.</v>
      </c>
      <c r="D13" s="721"/>
      <c r="E13" s="290"/>
      <c r="F13" s="709"/>
      <c r="G13" s="710"/>
    </row>
    <row r="14" spans="1:7" ht="25.5" customHeight="1" x14ac:dyDescent="0.3">
      <c r="A14" s="375" t="s">
        <v>1767</v>
      </c>
      <c r="B14" s="291" t="s">
        <v>1767</v>
      </c>
      <c r="C14" s="722" t="str">
        <f ca="1">VLOOKUP(B14,Questions!$D$4:$F$418,3,FALSE)</f>
        <v>Die durchschnittliche Ausleuchtung der Parkfläche (am Boden gemessen) beträgt mind. 20 Lux.</v>
      </c>
      <c r="D14" s="723"/>
      <c r="E14" s="292"/>
      <c r="F14" s="711"/>
      <c r="G14" s="712"/>
    </row>
    <row r="15" spans="1:7" x14ac:dyDescent="0.3">
      <c r="A15" s="13"/>
      <c r="B15" s="13"/>
      <c r="C15" s="13"/>
      <c r="D15" s="13"/>
      <c r="E15" s="13"/>
      <c r="F15" s="13"/>
      <c r="G15" s="13"/>
    </row>
    <row r="16" spans="1:7" ht="16" customHeight="1" x14ac:dyDescent="0.3">
      <c r="A16" s="13"/>
      <c r="B16" s="13">
        <v>24</v>
      </c>
      <c r="D16" s="286" t="str">
        <f ca="1">VLOOKUP(B16,Tags,2)</f>
        <v>bestanden</v>
      </c>
      <c r="E16" s="77">
        <f>COUNTIF($E$4:$E$14,Answers!B20)</f>
        <v>0</v>
      </c>
      <c r="G16" s="715" t="str">
        <f ca="1">'Detailed Results'!M4</f>
        <v>nicht bestanden</v>
      </c>
    </row>
    <row r="17" spans="1:7" ht="16" customHeight="1" x14ac:dyDescent="0.3">
      <c r="A17" s="13"/>
      <c r="B17" s="13">
        <v>25</v>
      </c>
      <c r="D17" s="286" t="str">
        <f ca="1">VLOOKUP(B17,Tags,2)</f>
        <v>nicht bestanden</v>
      </c>
      <c r="E17" s="77">
        <f>COUNTIF($E$4:$E$14,Answers!B21)</f>
        <v>0</v>
      </c>
      <c r="G17" s="716"/>
    </row>
    <row r="18" spans="1:7" ht="16" customHeight="1" x14ac:dyDescent="0.3">
      <c r="B18" s="5">
        <v>23</v>
      </c>
      <c r="D18" s="286" t="str">
        <f ca="1">VLOOKUP(B18,Tags,2)</f>
        <v>nicht überprüft</v>
      </c>
      <c r="E18" s="77">
        <f>COUNTA(A4:A14)-E17-E16</f>
        <v>11</v>
      </c>
      <c r="G18" s="717"/>
    </row>
    <row r="19" spans="1:7" ht="15.5" x14ac:dyDescent="0.3">
      <c r="A19" s="107" t="str">
        <f ca="1">Tags!B60</f>
        <v>Anmerkungen</v>
      </c>
      <c r="B19" s="107"/>
    </row>
    <row r="20" spans="1:7" x14ac:dyDescent="0.3"/>
    <row r="21" spans="1:7" x14ac:dyDescent="0.3"/>
    <row r="22" spans="1:7" x14ac:dyDescent="0.3"/>
    <row r="23" spans="1:7" x14ac:dyDescent="0.3"/>
    <row r="24" spans="1:7" x14ac:dyDescent="0.3"/>
    <row r="25" spans="1:7" x14ac:dyDescent="0.3"/>
    <row r="26" spans="1:7" x14ac:dyDescent="0.3"/>
    <row r="27" spans="1:7" x14ac:dyDescent="0.3"/>
    <row r="28" spans="1:7" x14ac:dyDescent="0.3"/>
    <row r="29" spans="1:7" x14ac:dyDescent="0.3"/>
    <row r="30" spans="1:7" x14ac:dyDescent="0.3"/>
    <row r="31" spans="1:7" x14ac:dyDescent="0.3"/>
    <row r="32" spans="1:7" x14ac:dyDescent="0.3"/>
    <row r="33" x14ac:dyDescent="0.3"/>
    <row r="34" x14ac:dyDescent="0.3"/>
    <row r="35" x14ac:dyDescent="0.3"/>
    <row r="36" x14ac:dyDescent="0.3"/>
    <row r="37" x14ac:dyDescent="0.3"/>
  </sheetData>
  <sheetProtection algorithmName="SHA-512" hashValue="JGA2XTZ3zOgtZyaQ3H/dsPGOEDHHIxTeL6xjCMWraP1+l4zEDdySKKNQpn15PRbuSwRGbQXoU0xpbeHPTMdTsQ==" saltValue="x9LBnha9TG09X/SaB5/4Jg==" spinCount="100000" sheet="1" formatRows="0" selectLockedCells="1"/>
  <mergeCells count="25">
    <mergeCell ref="C3:D3"/>
    <mergeCell ref="G16:G18"/>
    <mergeCell ref="C4:D4"/>
    <mergeCell ref="C5:D5"/>
    <mergeCell ref="C6:D6"/>
    <mergeCell ref="C7:D7"/>
    <mergeCell ref="C8:D8"/>
    <mergeCell ref="C9:D9"/>
    <mergeCell ref="C10:D10"/>
    <mergeCell ref="C11:D11"/>
    <mergeCell ref="C12:D12"/>
    <mergeCell ref="C13:D13"/>
    <mergeCell ref="C14:D14"/>
    <mergeCell ref="F13:G13"/>
    <mergeCell ref="F3:G3"/>
    <mergeCell ref="F4:G4"/>
    <mergeCell ref="F10:G10"/>
    <mergeCell ref="F11:G11"/>
    <mergeCell ref="F12:G12"/>
    <mergeCell ref="F14:G14"/>
    <mergeCell ref="F5:G5"/>
    <mergeCell ref="F6:G6"/>
    <mergeCell ref="F7:G7"/>
    <mergeCell ref="F8:G8"/>
    <mergeCell ref="F9:G9"/>
  </mergeCells>
  <phoneticPr fontId="24" type="noConversion"/>
  <printOptions horizontalCentered="1"/>
  <pageMargins left="0.71" right="0.71" top="0.75000000000000011" bottom="0.75000000000000011" header="0.31" footer="0.31"/>
  <pageSetup paperSize="9" scale="68" orientation="landscape"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3" id="{13324281-6049-BC49-A976-626CF64DB518}">
            <xm:f>$G$1=Tags!$B$21</xm:f>
            <x14:dxf>
              <font>
                <color rgb="FF9C0006"/>
              </font>
            </x14:dxf>
          </x14:cfRule>
          <xm:sqref>G1</xm:sqref>
        </x14:conditionalFormatting>
        <x14:conditionalFormatting xmlns:xm="http://schemas.microsoft.com/office/excel/2006/main">
          <x14:cfRule type="expression" priority="1" id="{880A4E9B-C8EF-7943-BFA9-7F4301E465C1}">
            <xm:f>$G$16=Tags!$B$28</xm:f>
            <x14:dxf>
              <font>
                <color rgb="FF9C0006"/>
              </font>
              <fill>
                <patternFill patternType="solid">
                  <fgColor indexed="64"/>
                  <bgColor theme="5" tint="0.79998168889431442"/>
                </patternFill>
              </fill>
              <border>
                <left style="thin">
                  <color theme="5" tint="-0.499984740745262"/>
                </left>
                <right style="thin">
                  <color theme="5" tint="-0.499984740745262"/>
                </right>
                <top style="thin">
                  <color theme="5" tint="-0.499984740745262"/>
                </top>
                <bottom style="thin">
                  <color theme="5" tint="-0.499984740745262"/>
                </bottom>
              </border>
            </x14:dxf>
          </x14:cfRule>
          <x14:cfRule type="expression" priority="2" id="{83A7DDE4-48A9-D54F-9209-67F251D65373}">
            <xm:f>($G$16=Tags!$B$27)</xm:f>
            <x14:dxf>
              <font>
                <color rgb="FF008000"/>
              </font>
              <fill>
                <patternFill patternType="solid">
                  <fgColor indexed="64"/>
                  <bgColor theme="6" tint="0.79998168889431442"/>
                </patternFill>
              </fill>
              <border>
                <left style="thin">
                  <color theme="6" tint="-0.499984740745262"/>
                </left>
                <right style="thin">
                  <color theme="6" tint="-0.499984740745262"/>
                </right>
                <top style="thin">
                  <color theme="6" tint="-0.499984740745262"/>
                </top>
                <bottom style="thin">
                  <color theme="6" tint="-0.499984740745262"/>
                </bottom>
              </border>
            </x14:dxf>
          </x14:cfRule>
          <xm:sqref>G16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Answers!$B$20:$B$21</xm:f>
          </x14:formula1>
          <xm:sqref>E4:E14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K59"/>
  <sheetViews>
    <sheetView showGridLines="0" workbookViewId="0">
      <selection activeCell="E4" sqref="E4"/>
    </sheetView>
  </sheetViews>
  <sheetFormatPr baseColWidth="10" defaultColWidth="0" defaultRowHeight="14" zeroHeight="1" x14ac:dyDescent="0.35"/>
  <cols>
    <col min="1" max="1" width="4.81640625" style="13" customWidth="1"/>
    <col min="2" max="3" width="4.81640625" style="13" hidden="1" customWidth="1"/>
    <col min="4" max="4" width="58" style="13" customWidth="1"/>
    <col min="5" max="5" width="15.26953125" style="13" customWidth="1"/>
    <col min="6" max="7" width="11" style="13" customWidth="1"/>
    <col min="8" max="8" width="15.81640625" style="13" customWidth="1"/>
    <col min="9" max="9" width="12.453125" style="13" customWidth="1"/>
    <col min="10" max="10" width="48.453125" style="13" customWidth="1"/>
    <col min="11" max="11" width="0.453125" style="13" customWidth="1"/>
    <col min="12" max="16384" width="8.81640625" style="13" hidden="1"/>
  </cols>
  <sheetData>
    <row r="1" spans="1:10" ht="28" customHeight="1" thickBot="1" x14ac:dyDescent="0.4">
      <c r="A1" s="481">
        <v>2</v>
      </c>
      <c r="B1" s="482">
        <v>2</v>
      </c>
      <c r="C1" s="482"/>
      <c r="D1" s="466" t="str">
        <f ca="1">VLOOKUP(A1,Questions!$D$4:$F$418,3,FALSE)</f>
        <v>Beleuchtung</v>
      </c>
      <c r="E1" s="483"/>
      <c r="F1" s="484"/>
      <c r="G1" s="485" t="str">
        <f ca="1">IF(E27&gt;0,Tags!B21,Tags!B20)</f>
        <v>unvollständig</v>
      </c>
      <c r="H1" s="486" t="s">
        <v>485</v>
      </c>
      <c r="I1" s="487">
        <f>I26*I27</f>
        <v>0</v>
      </c>
      <c r="J1" s="488">
        <f>I26</f>
        <v>0</v>
      </c>
    </row>
    <row r="2" spans="1:10" ht="13" customHeight="1" x14ac:dyDescent="0.35"/>
    <row r="3" spans="1:10" ht="42" x14ac:dyDescent="0.35">
      <c r="A3" s="324"/>
      <c r="B3" s="324">
        <v>52</v>
      </c>
      <c r="C3" s="325">
        <f>VLOOKUP(B3,Questions!$D$4:$F$418,2)</f>
        <v>0</v>
      </c>
      <c r="D3" s="322" t="str">
        <f ca="1">VLOOKUP(B3,Tags!$A$4:$B$152,2)</f>
        <v>Positionsliste</v>
      </c>
      <c r="E3" s="326" t="str">
        <f ca="1">Tags!B56</f>
        <v>Messwerte</v>
      </c>
      <c r="F3" s="327" t="str">
        <f ca="1">G25</f>
        <v>Maximale Punktzahl</v>
      </c>
      <c r="G3" s="327" t="str">
        <f ca="1">G24</f>
        <v>Punktzahl</v>
      </c>
      <c r="H3" s="327" t="str">
        <f ca="1">Tags!B57</f>
        <v>maximaler Beitrag zum Endergebnis</v>
      </c>
      <c r="I3" s="327" t="str">
        <f ca="1">Tags!B58</f>
        <v>Beitrag zum Endergebnis</v>
      </c>
      <c r="J3" s="327" t="str">
        <f ca="1">Tags!B59</f>
        <v>Anmerkungen</v>
      </c>
    </row>
    <row r="4" spans="1:10" ht="50" x14ac:dyDescent="0.35">
      <c r="A4" s="82" t="s">
        <v>26</v>
      </c>
      <c r="B4" s="236" t="s">
        <v>26</v>
      </c>
      <c r="C4" s="236" t="str">
        <f>VLOOKUP(B4,Questions!$D$4:$F$418,2)</f>
        <v>Item</v>
      </c>
      <c r="D4" s="83" t="str">
        <f ca="1">VLOOKUP(B4,Questions!$D$4:$F$418,3,FALSE)</f>
        <v>Einfahrtsbereich; Messung am Boden
•  Über 200 Lux = 5;
•  Zwischen 75 - 200 Lux = 0,04 pt pro Lux über 75  
•  Unter 75 Lux = 0</v>
      </c>
      <c r="E4" s="59"/>
      <c r="F4" s="9">
        <v>5</v>
      </c>
      <c r="G4" s="407">
        <f>IF(E4&gt;200,5,IF(E4&lt;=75,0,(E4-75)*0.04))</f>
        <v>0</v>
      </c>
      <c r="H4" s="34">
        <f>F4/$I$25*$I$27</f>
        <v>1.7391304347826086</v>
      </c>
      <c r="I4" s="34">
        <f>G4/$I$25*$I$27</f>
        <v>0</v>
      </c>
      <c r="J4" s="86"/>
    </row>
    <row r="5" spans="1:10" ht="50" x14ac:dyDescent="0.35">
      <c r="A5" s="84" t="s">
        <v>27</v>
      </c>
      <c r="B5" s="237" t="s">
        <v>27</v>
      </c>
      <c r="C5" s="237" t="str">
        <f>VLOOKUP(B5,Questions!$D$4:$F$418,2)</f>
        <v>Item</v>
      </c>
      <c r="D5" s="83" t="str">
        <f ca="1">VLOOKUP(B5,Questions!$D$4:$F$418,3,FALSE)</f>
        <v>Einfahrt; in 1 m Höhe neben dem Ticketgeber
•  Über 200 Lux = 3;
•  Zwischen 100 - 200 Lux = 0,03 pt pro Lux über 100
•  Unter 100 Lux = 0</v>
      </c>
      <c r="E5" s="59"/>
      <c r="F5" s="9">
        <v>3</v>
      </c>
      <c r="G5" s="407">
        <f>IF(E5&gt;200,3,IF(E5&lt;=100,0,(E5-100)*0.03))</f>
        <v>0</v>
      </c>
      <c r="H5" s="34">
        <f t="shared" ref="H5:I11" si="0">F5/$F$13*$I$27</f>
        <v>1.0434782608695652</v>
      </c>
      <c r="I5" s="34">
        <f t="shared" si="0"/>
        <v>0</v>
      </c>
      <c r="J5" s="86"/>
    </row>
    <row r="6" spans="1:10" ht="50" x14ac:dyDescent="0.35">
      <c r="A6" s="84" t="s">
        <v>28</v>
      </c>
      <c r="B6" s="237" t="s">
        <v>28</v>
      </c>
      <c r="C6" s="237" t="str">
        <f>VLOOKUP(B6,Questions!$D$4:$F$418,2)</f>
        <v>Item</v>
      </c>
      <c r="D6" s="83" t="str">
        <f ca="1">VLOOKUP(B6,Questions!$D$4:$F$418,3,FALSE)</f>
        <v>Ausfahrt; in 1 m Höhe neben der Ausfahrtssäule
•  Über 200 Lux = 3;
•  Zwischen 100 - 200 Lux = 0,03 pt pro Lux über 100
•  Unter 100 Lux = 0</v>
      </c>
      <c r="E6" s="59"/>
      <c r="F6" s="9">
        <v>3</v>
      </c>
      <c r="G6" s="407">
        <f>IF(E6&gt;100,(IF(E6&lt;200,(E6-100)*0.03,3)),0)</f>
        <v>0</v>
      </c>
      <c r="H6" s="34">
        <f t="shared" si="0"/>
        <v>1.0434782608695652</v>
      </c>
      <c r="I6" s="34">
        <f t="shared" si="0"/>
        <v>0</v>
      </c>
      <c r="J6" s="86"/>
    </row>
    <row r="7" spans="1:10" ht="62.5" x14ac:dyDescent="0.35">
      <c r="A7" s="84" t="s">
        <v>29</v>
      </c>
      <c r="B7" s="237" t="s">
        <v>29</v>
      </c>
      <c r="C7" s="237" t="str">
        <f>VLOOKUP(B7,Questions!$D$4:$F$418,2)</f>
        <v>Item</v>
      </c>
      <c r="D7" s="83" t="str">
        <f ca="1">VLOOKUP(B7,Questions!$D$4:$F$418,3,FALSE)</f>
        <v>Am Bezahlautomaten; in 1 m Höhe
•  Über 200 Lux = 4;
•  Zwischen 100 - 200 Lux = 0,04 pt pro Lux über 100
•  Unter 100 Lux = 0;
•  Kein Bezahlautomat = wie Ausfahrt (in diesem Fall "0" eingeben)</v>
      </c>
      <c r="E7" s="132"/>
      <c r="F7" s="9">
        <v>4</v>
      </c>
      <c r="G7" s="407">
        <f>IF(E7&gt;100,(IF(E7&lt;200,(E7-100)*0.04,4)),IF(AND(ISNUMBER(E7),E7=0),G6,0))</f>
        <v>0</v>
      </c>
      <c r="H7" s="34">
        <f t="shared" si="0"/>
        <v>1.3913043478260869</v>
      </c>
      <c r="I7" s="34">
        <f t="shared" si="0"/>
        <v>0</v>
      </c>
      <c r="J7" s="86"/>
    </row>
    <row r="8" spans="1:10" ht="62.5" x14ac:dyDescent="0.35">
      <c r="A8" s="84" t="s">
        <v>30</v>
      </c>
      <c r="B8" s="237" t="s">
        <v>30</v>
      </c>
      <c r="C8" s="237" t="str">
        <f>VLOOKUP(B8,Questions!$D$4:$F$418,2)</f>
        <v>Item</v>
      </c>
      <c r="D8" s="83" t="str">
        <f ca="1">VLOOKUP(B8,Questions!$D$4:$F$418,3,FALSE)</f>
        <v>An der Kasse; in Höhe des Kundenschalters
•  Über 200 Lux = 4;
•  Zwischen 100 - 200 Lux = 0,04 pt pro Lux über 100
•  Unter 100 Lux = 0;
•  Keine Kassenstation = 3  (in diesem Fall "0" eingeben)</v>
      </c>
      <c r="E8" s="132"/>
      <c r="F8" s="9">
        <v>4</v>
      </c>
      <c r="G8" s="407">
        <f>IF(E8&gt;100,(IF(E8&lt;200,(E8-100)*0.04,4)),IF(AND(ISNUMBER(E8),(E8=0)),3,0))</f>
        <v>0</v>
      </c>
      <c r="H8" s="34">
        <f t="shared" si="0"/>
        <v>1.3913043478260869</v>
      </c>
      <c r="I8" s="34">
        <f t="shared" si="0"/>
        <v>0</v>
      </c>
      <c r="J8" s="86"/>
    </row>
    <row r="9" spans="1:10" ht="62.5" x14ac:dyDescent="0.35">
      <c r="A9" s="84" t="s">
        <v>31</v>
      </c>
      <c r="B9" s="237" t="s">
        <v>31</v>
      </c>
      <c r="C9" s="237" t="str">
        <f>VLOOKUP(B9,Questions!$D$4:$F$418,2)</f>
        <v>Item</v>
      </c>
      <c r="D9" s="83" t="str">
        <f ca="1">VLOOKUP(B9,Questions!$D$4:$F$418,3,FALSE)</f>
        <v>Im Aufzug; gesmessen am Boden
•  Über 70 Lux = 4;
•  Zwischen 30 - 70 Lux = 0,1 pt pro Lux über 30
•  Unter 30 Lux = 0;
•  Nur eine Parkebene ohne Aufzug = 3 (in diesem Fall "0" eingeben)</v>
      </c>
      <c r="E9" s="132"/>
      <c r="F9" s="9">
        <v>4</v>
      </c>
      <c r="G9" s="407">
        <f>IF(E9&gt;30,(IF(E9&lt;70,(E9-30)*0.1,4)),IF(AND(ISNUMBER(E9),(E9=0)),3,0))</f>
        <v>0</v>
      </c>
      <c r="H9" s="34">
        <f t="shared" si="0"/>
        <v>1.3913043478260869</v>
      </c>
      <c r="I9" s="34">
        <f t="shared" si="0"/>
        <v>0</v>
      </c>
      <c r="J9" s="86"/>
    </row>
    <row r="10" spans="1:10" ht="50" x14ac:dyDescent="0.35">
      <c r="A10" s="239" t="s">
        <v>32</v>
      </c>
      <c r="B10" s="240" t="s">
        <v>32</v>
      </c>
      <c r="C10" s="240" t="str">
        <f>VLOOKUP(B10,Questions!$D$4:$F$418,2)</f>
        <v>Item</v>
      </c>
      <c r="D10" s="241" t="str">
        <f ca="1">VLOOKUP(B10,Questions!$D$4:$F$418,3,FALSE)</f>
        <v>In Treppenhäusern und allen Fußgängerbereichen; gemessen am Boden
•  Über 90 Lux = 3;
•  Zwischen 30 - 90 Lux = 0,05 pt pro Lux über 30
•  Unter 30 Lux = 0;</v>
      </c>
      <c r="E10" s="59"/>
      <c r="F10" s="9">
        <v>3</v>
      </c>
      <c r="G10" s="407">
        <f>IF(E10&gt;30,(IF(E10&lt;90,(E10-30)*0.05,3)),0)</f>
        <v>0</v>
      </c>
      <c r="H10" s="34">
        <f t="shared" si="0"/>
        <v>1.0434782608695652</v>
      </c>
      <c r="I10" s="34">
        <f t="shared" si="0"/>
        <v>0</v>
      </c>
      <c r="J10" s="86"/>
    </row>
    <row r="11" spans="1:10" ht="62.5" x14ac:dyDescent="0.35">
      <c r="A11" s="242" t="s">
        <v>33</v>
      </c>
      <c r="B11" s="243" t="s">
        <v>33</v>
      </c>
      <c r="C11" s="243" t="str">
        <f>VLOOKUP(B11,Questions!$D$4:$F$418,2)</f>
        <v>Item</v>
      </c>
      <c r="D11" s="244" t="str">
        <f ca="1">VLOOKUP(B11,Questions!$D$4:$F$418,3,FALSE)</f>
        <v>Ausleuchtung der Parkfläche; gemessen am Boden: (Bitte die Tabelle ausfüllen) 
Durchschnittliche Ausleuchtung des Bereichs:
•  Über 100 Lux= 10;
•  Zwischen 20– 100 Lux: 0,125 pt pro Lux über 20 
•  Unter 20 Lux= 0</v>
      </c>
      <c r="E11" s="238">
        <f>IF(ISERROR(AVERAGE(F17:G21)),0,AVERAGE(F17:G21))</f>
        <v>0</v>
      </c>
      <c r="F11" s="732">
        <v>20</v>
      </c>
      <c r="G11" s="409">
        <f>IF(E11&gt;20,(IF(E11&lt;100,(E11-20)*0.125,10)),0)</f>
        <v>0</v>
      </c>
      <c r="H11" s="734">
        <f t="shared" si="0"/>
        <v>6.9565217391304346</v>
      </c>
      <c r="I11" s="34">
        <f t="shared" si="0"/>
        <v>0</v>
      </c>
      <c r="J11" s="87"/>
    </row>
    <row r="12" spans="1:10" ht="50" x14ac:dyDescent="0.35">
      <c r="A12" s="242" t="s">
        <v>2596</v>
      </c>
      <c r="B12" s="247" t="s">
        <v>2596</v>
      </c>
      <c r="C12" s="243">
        <f>VLOOKUP(B12,Questions!$D$4:$F$418,2)</f>
        <v>0</v>
      </c>
      <c r="D12" s="244" t="str">
        <f ca="1">VLOOKUP(B12,Questions!$D$4:$F$418,3,FALSE)</f>
        <v>Gleichmäßigkeit der Ausleuchtung (Standardabweichung)
•  Unter 25% vom Durchschnitt = 10;
•  Zwischen 25 - 50% = 0,4 pt pro % unter 50%
•  Über 50% =  0</v>
      </c>
      <c r="E12" s="245">
        <f>IF(ISERROR(_xlfn.STDEV.S(F17:G21)/E11),0,_xlfn.STDEV.S(F17:G21)/E11)</f>
        <v>0</v>
      </c>
      <c r="F12" s="733"/>
      <c r="G12" s="410">
        <f>IF(ISERROR(_xlfn.STDEV.S(F17:G21)/E11),0,IF(E12&gt;0.5,0,IF(E12&lt;0.25,10,(0.5-E12)*40)))</f>
        <v>0</v>
      </c>
      <c r="H12" s="735"/>
      <c r="I12" s="34">
        <f>G12/$F$13*$I$27</f>
        <v>0</v>
      </c>
      <c r="J12" s="88"/>
    </row>
    <row r="13" spans="1:10" ht="14.5" x14ac:dyDescent="0.35">
      <c r="D13" s="246" t="str">
        <f ca="1">CONCATENATE(Tags!$B$50," ",$D$1)</f>
        <v>Zwischensummen Beleuchtung</v>
      </c>
      <c r="E13" s="2"/>
      <c r="F13" s="1">
        <f>SUM(F4:F12)</f>
        <v>46</v>
      </c>
      <c r="G13" s="7">
        <f>SUM(G4:G12)</f>
        <v>0</v>
      </c>
      <c r="H13" s="7">
        <f>SUM(H4:H12)</f>
        <v>16</v>
      </c>
      <c r="I13" s="35">
        <f>SUM(I4:I12)</f>
        <v>0</v>
      </c>
      <c r="J13" s="89"/>
    </row>
    <row r="14" spans="1:10" x14ac:dyDescent="0.35"/>
    <row r="15" spans="1:10" x14ac:dyDescent="0.35"/>
    <row r="16" spans="1:10" ht="15.5" x14ac:dyDescent="0.35">
      <c r="B16" s="13" t="s">
        <v>2684</v>
      </c>
      <c r="D16" s="730" t="str">
        <f ca="1">VLOOKUP(B16,Questions!$D$4:$F$418,3,FALSE)</f>
        <v>Hilfsbereich für 2.8</v>
      </c>
      <c r="E16" s="731" t="e">
        <f>VLOOKUP(C16,Questions!$D$4:$F$418,3,FALSE)</f>
        <v>#N/A</v>
      </c>
      <c r="F16" s="731" t="e">
        <f ca="1">VLOOKUP(D16,Questions!$D$4:$F$418,3,FALSE)</f>
        <v>#N/A</v>
      </c>
      <c r="G16" s="110"/>
    </row>
    <row r="17" spans="1:10" x14ac:dyDescent="0.35">
      <c r="B17" s="13" t="s">
        <v>2679</v>
      </c>
      <c r="D17" s="736" t="str">
        <f ca="1">VLOOKUP(B17,Questions!$D$4:$F$418,3,FALSE)</f>
        <v>Ende des Stellplatzes unter / zwischen Leuchtmittel</v>
      </c>
      <c r="E17" s="737" t="e">
        <f>VLOOKUP(C17,Questions!$D$4:$F$418,3,FALSE)</f>
        <v>#N/A</v>
      </c>
      <c r="F17" s="60"/>
      <c r="G17" s="60"/>
    </row>
    <row r="18" spans="1:10" x14ac:dyDescent="0.35">
      <c r="B18" s="13" t="s">
        <v>2680</v>
      </c>
      <c r="D18" s="728" t="str">
        <f ca="1">VLOOKUP(B18,Questions!$D$4:$F$418,3,FALSE)</f>
        <v>Mitte des Stellplatzes unter / zwischen Leuchtmittel</v>
      </c>
      <c r="E18" s="729" t="e">
        <f>VLOOKUP(C18,Questions!$D$4:$F$418,3,FALSE)</f>
        <v>#N/A</v>
      </c>
      <c r="F18" s="60"/>
      <c r="G18" s="60"/>
    </row>
    <row r="19" spans="1:10" x14ac:dyDescent="0.35">
      <c r="B19" s="13" t="s">
        <v>2681</v>
      </c>
      <c r="D19" s="728" t="str">
        <f ca="1">VLOOKUP(B19,Questions!$D$4:$F$418,3,FALSE)</f>
        <v>Fahrbahnrand unter / zwischen Leuchtmittel</v>
      </c>
      <c r="E19" s="729" t="e">
        <f>VLOOKUP(C19,Questions!$D$4:$F$418,3,FALSE)</f>
        <v>#N/A</v>
      </c>
      <c r="F19" s="60"/>
      <c r="G19" s="60"/>
    </row>
    <row r="20" spans="1:10" x14ac:dyDescent="0.35">
      <c r="B20" s="13" t="s">
        <v>2682</v>
      </c>
      <c r="D20" s="728" t="str">
        <f ca="1">VLOOKUP(B20,Questions!$D$4:$F$418,3,FALSE)</f>
        <v>Fahrbahnmitte unter / zwischen Leuchtmittel</v>
      </c>
      <c r="E20" s="729" t="e">
        <f>VLOOKUP(C20,Questions!$D$4:$F$418,3,FALSE)</f>
        <v>#N/A</v>
      </c>
      <c r="F20" s="60"/>
      <c r="G20" s="60"/>
    </row>
    <row r="21" spans="1:10" x14ac:dyDescent="0.35">
      <c r="B21" s="13" t="s">
        <v>2683</v>
      </c>
      <c r="D21" s="728" t="str">
        <f ca="1">VLOOKUP(B21,Questions!$D$4:$F$418,3,FALSE)</f>
        <v>Gegenüberliegender Fahrbahnrand unter / zwischen Leuchtmittel</v>
      </c>
      <c r="E21" s="729" t="e">
        <f>VLOOKUP(C21,Questions!$D$4:$F$418,3,FALSE)</f>
        <v>#N/A</v>
      </c>
      <c r="F21" s="60"/>
      <c r="G21" s="60"/>
    </row>
    <row r="22" spans="1:10" x14ac:dyDescent="0.35"/>
    <row r="23" spans="1:10" x14ac:dyDescent="0.35"/>
    <row r="24" spans="1:10" ht="13" customHeight="1" x14ac:dyDescent="0.35">
      <c r="D24" s="145" t="str">
        <f ca="1">Tags!B30</f>
        <v>Summe der Positionen</v>
      </c>
      <c r="E24" s="77">
        <v>8</v>
      </c>
      <c r="G24" s="145" t="str">
        <f ca="1">Tags!B34</f>
        <v>Punktzahl</v>
      </c>
      <c r="I24" s="79">
        <f>G13</f>
        <v>0</v>
      </c>
      <c r="J24" s="715" t="str">
        <f ca="1">'Detailed Results'!M7</f>
        <v>unvollständig</v>
      </c>
    </row>
    <row r="25" spans="1:10" ht="13" customHeight="1" x14ac:dyDescent="0.35">
      <c r="D25" s="145" t="str">
        <f ca="1">Tags!B31</f>
        <v>Summe der Positionen und Unterpositionen</v>
      </c>
      <c r="E25" s="77">
        <v>17</v>
      </c>
      <c r="G25" s="145" t="str">
        <f ca="1">Tags!B35</f>
        <v>Maximale Punktzahl</v>
      </c>
      <c r="I25" s="79">
        <f>F13</f>
        <v>46</v>
      </c>
      <c r="J25" s="716"/>
    </row>
    <row r="26" spans="1:10" ht="13" customHeight="1" x14ac:dyDescent="0.35">
      <c r="D26" s="145" t="str">
        <f ca="1">Tags!B32</f>
        <v>vollständige Positionen</v>
      </c>
      <c r="E26" s="79">
        <f>COUNTIF(F17:G21,"&gt;=0")+COUNTIF(E4:E10,"&gt;=0")</f>
        <v>0</v>
      </c>
      <c r="G26" s="145" t="str">
        <f ca="1">Tags!B36</f>
        <v>Prozentsatz</v>
      </c>
      <c r="I26" s="80">
        <f>I24/I25</f>
        <v>0</v>
      </c>
      <c r="J26" s="716"/>
    </row>
    <row r="27" spans="1:10" ht="13" customHeight="1" x14ac:dyDescent="0.35">
      <c r="D27" s="145" t="str">
        <f ca="1">Tags!B33</f>
        <v>nicht gemessen</v>
      </c>
      <c r="E27" s="79">
        <f>E25-E26</f>
        <v>17</v>
      </c>
      <c r="G27" s="145" t="str">
        <f ca="1">Tags!B37</f>
        <v>Wert der Kategorie</v>
      </c>
      <c r="I27" s="79">
        <f>VLOOKUP(A1,'Detailed Results'!$A$7:$M$15,11)</f>
        <v>16</v>
      </c>
      <c r="J27" s="717"/>
    </row>
    <row r="28" spans="1:10" x14ac:dyDescent="0.35"/>
    <row r="29" spans="1:10" ht="15.5" x14ac:dyDescent="0.35">
      <c r="A29" s="107" t="str">
        <f ca="1">Tags!B60</f>
        <v>Anmerkungen</v>
      </c>
      <c r="B29" s="107"/>
      <c r="C29" s="107"/>
    </row>
    <row r="30" spans="1:10" x14ac:dyDescent="0.35"/>
    <row r="31" spans="1:10" x14ac:dyDescent="0.35"/>
    <row r="32" spans="1:10"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sheetProtection algorithmName="SHA-512" hashValue="BWfx+lMp+oQB/n6FoaOZNm2J4600puhfxlx77kwjXKYiB/j0KzfmJ4loCZax6CYvUVw5ZDlzhQbFZXxWhfYbGQ==" saltValue="37c+bTpLYif1ceiyBjnfoA==" spinCount="100000" sheet="1" formatRows="0" selectLockedCells="1"/>
  <mergeCells count="9">
    <mergeCell ref="D21:E21"/>
    <mergeCell ref="D16:F16"/>
    <mergeCell ref="F11:F12"/>
    <mergeCell ref="H11:H12"/>
    <mergeCell ref="J24:J27"/>
    <mergeCell ref="D17:E17"/>
    <mergeCell ref="D18:E18"/>
    <mergeCell ref="D19:E19"/>
    <mergeCell ref="D20:E20"/>
  </mergeCells>
  <phoneticPr fontId="24" type="noConversion"/>
  <conditionalFormatting sqref="J24:J27">
    <cfRule type="expression" dxfId="52" priority="35">
      <formula>#REF!="Fail"</formula>
    </cfRule>
    <cfRule type="expression" dxfId="51" priority="36">
      <formula>(#REF!="Pass")</formula>
    </cfRule>
  </conditionalFormatting>
  <dataValidations count="3">
    <dataValidation type="custom" allowBlank="1" showInputMessage="1" showErrorMessage="1" sqref="G4:G6" xr:uid="{00000000-0002-0000-0400-000000000000}">
      <formula1>AND(G4&gt;=0,G4&lt;=F4)</formula1>
    </dataValidation>
    <dataValidation type="whole" allowBlank="1" showInputMessage="1" showErrorMessage="1" sqref="E10 E4:E6 F17:G21" xr:uid="{00000000-0002-0000-0400-000001000000}">
      <formula1>1</formula1>
      <formula2>1000</formula2>
    </dataValidation>
    <dataValidation type="whole" allowBlank="1" showInputMessage="1" showErrorMessage="1" sqref="E7:E9" xr:uid="{00000000-0002-0000-0400-000002000000}">
      <formula1>0</formula1>
      <formula2>1000</formula2>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5CCF6874-C322-1E46-9765-F30BD95752FE}">
            <xm:f>$F$1=Tags!$B$21</xm:f>
            <x14:dxf>
              <font>
                <color rgb="FF9C0006"/>
              </font>
            </x14:dxf>
          </x14:cfRule>
          <xm:sqref>F1:G1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K59"/>
  <sheetViews>
    <sheetView showGridLines="0" zoomScale="70" zoomScaleNormal="70" workbookViewId="0">
      <selection activeCell="J4" sqref="J4:J7"/>
    </sheetView>
  </sheetViews>
  <sheetFormatPr baseColWidth="10" defaultColWidth="0" defaultRowHeight="14.5" zeroHeight="1" x14ac:dyDescent="0.35"/>
  <cols>
    <col min="1" max="1" width="4.81640625" style="4" customWidth="1"/>
    <col min="2" max="3" width="4.81640625" style="4" hidden="1" customWidth="1"/>
    <col min="4" max="4" width="58" style="4" customWidth="1"/>
    <col min="5" max="5" width="15.26953125" style="4" customWidth="1"/>
    <col min="6" max="7" width="11" style="4" customWidth="1"/>
    <col min="8" max="8" width="15.81640625" style="4" customWidth="1"/>
    <col min="9" max="9" width="12.453125" style="4" customWidth="1"/>
    <col min="10" max="10" width="48.453125" style="4" customWidth="1"/>
    <col min="11" max="11" width="0.453125" style="4" customWidth="1"/>
    <col min="12" max="16384" width="8.81640625" style="4" hidden="1"/>
  </cols>
  <sheetData>
    <row r="1" spans="1:10" s="13" customFormat="1" ht="28" customHeight="1" thickTop="1" thickBot="1" x14ac:dyDescent="0.4">
      <c r="A1" s="472">
        <v>3</v>
      </c>
      <c r="B1" s="473">
        <v>3</v>
      </c>
      <c r="C1" s="473"/>
      <c r="D1" s="474" t="str">
        <f ca="1">VLOOKUP(B1,Questions!$D$4:$F$418,3,FALSE)</f>
        <v>Einfahrt / Ausfahrt</v>
      </c>
      <c r="E1" s="475"/>
      <c r="F1" s="476"/>
      <c r="G1" s="477" t="str">
        <f ca="1">IF(E38&gt;0,Tags!B21,Tags!B20)</f>
        <v>unvollständig</v>
      </c>
      <c r="H1" s="478" t="s">
        <v>485</v>
      </c>
      <c r="I1" s="479">
        <f>I37*I38</f>
        <v>0</v>
      </c>
      <c r="J1" s="480">
        <f>I37</f>
        <v>0</v>
      </c>
    </row>
    <row r="2" spans="1:10" s="13" customFormat="1" ht="13" customHeight="1" thickTop="1" x14ac:dyDescent="0.35"/>
    <row r="3" spans="1:10" ht="42" x14ac:dyDescent="0.35">
      <c r="A3" s="328">
        <v>3</v>
      </c>
      <c r="B3" s="328">
        <v>52</v>
      </c>
      <c r="C3" s="328"/>
      <c r="D3" s="322" t="str">
        <f ca="1">VLOOKUP(B3,Tags!$A$4:$B$152,2)</f>
        <v>Positionsliste</v>
      </c>
      <c r="E3" s="329" t="str">
        <f ca="1">Tags!B56</f>
        <v>Messwerte</v>
      </c>
      <c r="F3" s="330" t="str">
        <f ca="1">G36</f>
        <v>Maximale Punktzahl</v>
      </c>
      <c r="G3" s="330" t="str">
        <f ca="1">G35</f>
        <v>Punktzahl</v>
      </c>
      <c r="H3" s="327" t="str">
        <f ca="1">Tags!B57</f>
        <v>maximaler Beitrag zum Endergebnis</v>
      </c>
      <c r="I3" s="327" t="str">
        <f ca="1">Tags!B58</f>
        <v>Beitrag zum Endergebnis</v>
      </c>
      <c r="J3" s="327" t="str">
        <f ca="1">Tags!B59</f>
        <v>Anmerkungen</v>
      </c>
    </row>
    <row r="4" spans="1:10" x14ac:dyDescent="0.35">
      <c r="A4" s="758" t="s">
        <v>34</v>
      </c>
      <c r="B4" s="297" t="s">
        <v>2597</v>
      </c>
      <c r="C4" s="298">
        <f>VLOOKUP(B4,Questions!$D$4:$F$418,2)</f>
        <v>0</v>
      </c>
      <c r="D4" s="762" t="str">
        <f ca="1">VLOOKUP(B4,Questions!$D$4:$F$418,3,FALSE)</f>
        <v>Max. Durchfahrtshöhe ist an der Einfahrt angegeben (ja=1, nein=0)</v>
      </c>
      <c r="E4" s="740"/>
      <c r="F4" s="740"/>
      <c r="G4" s="741"/>
      <c r="H4" s="753">
        <f>F5/$F$33*$I$38</f>
        <v>0.77419354838709675</v>
      </c>
      <c r="I4" s="753">
        <f>IF(ISNUMBER(SUM(G5:G7)),SUM(G5:G7)/F5*$H$4,0)</f>
        <v>0</v>
      </c>
      <c r="J4" s="755"/>
    </row>
    <row r="5" spans="1:10" x14ac:dyDescent="0.35">
      <c r="A5" s="759"/>
      <c r="B5" s="233" t="s">
        <v>2598</v>
      </c>
      <c r="C5" s="94"/>
      <c r="D5" s="273" t="str">
        <f ca="1">VLOOKUP(B5,Questions!$D$4:$F$418,3,FALSE)</f>
        <v>Korrekte Einfahrtsbeschilderung (ja=1, nein=0)</v>
      </c>
      <c r="E5" s="64"/>
      <c r="F5" s="743">
        <v>3</v>
      </c>
      <c r="G5" s="395" t="str">
        <f>IF(COUNTIF(Question_YN_Yes,E5)&gt;0,1,IF(COUNTIF(Question_YN_No,E5)&gt;0,0,"NA"))</f>
        <v>NA</v>
      </c>
      <c r="H5" s="738"/>
      <c r="I5" s="738"/>
      <c r="J5" s="756"/>
    </row>
    <row r="6" spans="1:10" x14ac:dyDescent="0.35">
      <c r="A6" s="759"/>
      <c r="B6" s="233" t="s">
        <v>2599</v>
      </c>
      <c r="C6" s="94"/>
      <c r="D6" s="90" t="str">
        <f ca="1">VLOOKUP(B6,Questions!$D$4:$F$418,3,FALSE)</f>
        <v>Höhenkontrollbalken (ja = 1; nein = 0)</v>
      </c>
      <c r="E6" s="61"/>
      <c r="F6" s="743"/>
      <c r="G6" s="15" t="str">
        <f>IF(COUNTIF(Question_YN_Yes,E6)&gt;0,1,IF(COUNTIF(Question_YN_No,E6)&gt;0,0,"NA"))</f>
        <v>NA</v>
      </c>
      <c r="H6" s="738"/>
      <c r="I6" s="738"/>
      <c r="J6" s="756"/>
    </row>
    <row r="7" spans="1:10" x14ac:dyDescent="0.35">
      <c r="A7" s="760"/>
      <c r="B7" s="299" t="s">
        <v>2600</v>
      </c>
      <c r="C7" s="300"/>
      <c r="D7" s="301" t="str">
        <f ca="1">VLOOKUP(B7,Questions!$D$4:$F$418,3,FALSE)</f>
        <v>Gummilippe , um Schaden zu verhindern (ja=1, nein=0)</v>
      </c>
      <c r="E7" s="302"/>
      <c r="F7" s="761"/>
      <c r="G7" s="303" t="str">
        <f>IF(COUNTIF(Question_YN_Yes,E7)&gt;0,1,IF(COUNTIF(Question_YN_No,E7)&gt;0,0,"NA"))</f>
        <v>NA</v>
      </c>
      <c r="H7" s="754"/>
      <c r="I7" s="754"/>
      <c r="J7" s="757"/>
    </row>
    <row r="8" spans="1:10" ht="37.5" x14ac:dyDescent="0.35">
      <c r="A8" s="305" t="s">
        <v>35</v>
      </c>
      <c r="B8" s="247" t="s">
        <v>35</v>
      </c>
      <c r="C8" s="306"/>
      <c r="D8" s="307" t="str">
        <f ca="1">VLOOKUP(B8,Questions!$D$4:$F$418,3,FALSE)</f>
        <v>Durchfahrtshöhe:
(ein zusätzlicher Punkt je 10 cm über 1,90 m bis 2,20 m)</v>
      </c>
      <c r="E8" s="308"/>
      <c r="F8" s="309">
        <v>3</v>
      </c>
      <c r="G8" s="590" t="str">
        <f>IF(ISNUMBER(E8),IF(E8&gt;1.9,(IF(E8&lt;2.2,(E8-1.9)*10,3)),0),"NA")</f>
        <v>NA</v>
      </c>
      <c r="H8" s="310">
        <f>F8/$F$33*$I$38</f>
        <v>0.77419354838709675</v>
      </c>
      <c r="I8" s="310">
        <f>IF(ISNUMBER(SUM(G8)),SUM(G8)/F8*$H$8,0)</f>
        <v>0</v>
      </c>
      <c r="J8" s="311"/>
    </row>
    <row r="9" spans="1:10" ht="50" x14ac:dyDescent="0.35">
      <c r="A9" s="95" t="s">
        <v>36</v>
      </c>
      <c r="B9" s="233" t="s">
        <v>36</v>
      </c>
      <c r="C9" s="95"/>
      <c r="D9" s="304" t="str">
        <f ca="1">VLOOKUP(B9,Questions!$D$4:$F$418,3,FALSE)</f>
        <v>Verkehrsleitsystem weist auf Benutzungseinschränkungen hin.
• klare Ausschilderung = 3
• teilweise Ausschilderung = 2
• keine Ausschilderung = 0</v>
      </c>
      <c r="E9" s="276"/>
      <c r="F9" s="266">
        <v>3</v>
      </c>
      <c r="G9" s="591" t="str">
        <f>IF(COUNTIF(Q_3_3_Clear_Signing,E9)&gt;0,3,(IF(COUNTIF(Q_3_3_Incomplete_Signing,E9)&gt;0,2,(IF(COUNTIF(Q_3_3_No_Signing,E9)&gt;0,0,"NA")))))</f>
        <v>NA</v>
      </c>
      <c r="H9" s="394">
        <f>F9/$F$33*$I$38</f>
        <v>0.77419354838709675</v>
      </c>
      <c r="I9" s="394">
        <f>IF(ISNUMBER(SUM(G9)),SUM(G9)/F9*$H$9,0)</f>
        <v>0</v>
      </c>
      <c r="J9" s="269"/>
    </row>
    <row r="10" spans="1:10" x14ac:dyDescent="0.35">
      <c r="A10" s="750" t="s">
        <v>37</v>
      </c>
      <c r="B10" s="233" t="s">
        <v>2601</v>
      </c>
      <c r="C10" s="248"/>
      <c r="D10" s="763" t="str">
        <f ca="1">VLOOKUP(B10,Questions!$D$4:$F$418,3,FALSE)</f>
        <v>Informationen zu:</v>
      </c>
      <c r="E10" s="764"/>
      <c r="F10" s="764"/>
      <c r="G10" s="765"/>
      <c r="H10" s="734">
        <f>F11/$F$33*$I$38</f>
        <v>1.032258064516129</v>
      </c>
      <c r="I10" s="734">
        <f>IF(ISNUMBER(SUM(G11:G14)),SUM(G11:G14)/F11*$H$10,0)</f>
        <v>0</v>
      </c>
      <c r="J10" s="747"/>
    </row>
    <row r="11" spans="1:10" x14ac:dyDescent="0.35">
      <c r="A11" s="751"/>
      <c r="B11" s="233" t="s">
        <v>2602</v>
      </c>
      <c r="C11" s="94"/>
      <c r="D11" s="90" t="str">
        <f ca="1">VLOOKUP(B11,Questions!$D$4:$F$418,3,FALSE)</f>
        <v>Nutzungs- und Einstellbedingungen des Betreibers</v>
      </c>
      <c r="E11" s="61"/>
      <c r="F11" s="742">
        <v>4</v>
      </c>
      <c r="G11" s="15" t="str">
        <f>IF(COUNTIF(Question_YN_Yes,E11)&gt;0,1,IF(COUNTIF(Question_YN_No,E11)&gt;0,0,"NA"))</f>
        <v>NA</v>
      </c>
      <c r="H11" s="738"/>
      <c r="I11" s="738"/>
      <c r="J11" s="748"/>
    </row>
    <row r="12" spans="1:10" x14ac:dyDescent="0.35">
      <c r="A12" s="751"/>
      <c r="B12" s="233" t="s">
        <v>2603</v>
      </c>
      <c r="C12" s="94"/>
      <c r="D12" s="90" t="str">
        <f ca="1">VLOOKUP(B12,Questions!$D$4:$F$418,3,FALSE)</f>
        <v>Tägliche Öffnungszeiten</v>
      </c>
      <c r="E12" s="61"/>
      <c r="F12" s="743"/>
      <c r="G12" s="15" t="str">
        <f>IF(COUNTIF(Question_YN_Yes,E12)&gt;0,1,IF(COUNTIF(Question_YN_No,E12)&gt;0,0,"NA"))</f>
        <v>NA</v>
      </c>
      <c r="H12" s="738"/>
      <c r="I12" s="738"/>
      <c r="J12" s="748"/>
    </row>
    <row r="13" spans="1:10" x14ac:dyDescent="0.35">
      <c r="A13" s="751"/>
      <c r="B13" s="233" t="s">
        <v>2604</v>
      </c>
      <c r="C13" s="94"/>
      <c r="D13" s="90" t="str">
        <f ca="1">VLOOKUP(B13,Questions!$D$4:$F$418,3,FALSE)</f>
        <v>Tarifauszeichnung</v>
      </c>
      <c r="E13" s="61"/>
      <c r="F13" s="743"/>
      <c r="G13" s="15" t="str">
        <f>IF(COUNTIF(Question_YN_Yes,E13)&gt;0,1,IF(COUNTIF(Question_YN_No,E13)&gt;0,0,"NA"))</f>
        <v>NA</v>
      </c>
      <c r="H13" s="738"/>
      <c r="I13" s="738"/>
      <c r="J13" s="748"/>
    </row>
    <row r="14" spans="1:10" x14ac:dyDescent="0.35">
      <c r="A14" s="752"/>
      <c r="B14" s="233" t="s">
        <v>2608</v>
      </c>
      <c r="C14" s="94"/>
      <c r="D14" s="90" t="str">
        <f ca="1">VLOOKUP(B14,Questions!$D$4:$F$418,3,FALSE)</f>
        <v>Lesbarkeit der Tarifauszeichnung</v>
      </c>
      <c r="E14" s="62"/>
      <c r="F14" s="733"/>
      <c r="G14" s="17" t="str">
        <f>IF(COUNTIF(Question_YN_Yes,E14)&gt;0,1,IF(COUNTIF(Question_YN_No,E14)&gt;0,0,"NA"))</f>
        <v>NA</v>
      </c>
      <c r="H14" s="735"/>
      <c r="I14" s="735"/>
      <c r="J14" s="749"/>
    </row>
    <row r="15" spans="1:10" x14ac:dyDescent="0.35">
      <c r="A15" s="750" t="s">
        <v>38</v>
      </c>
      <c r="B15" s="233" t="s">
        <v>2605</v>
      </c>
      <c r="C15" s="248"/>
      <c r="D15" s="278" t="str">
        <f ca="1">VLOOKUP(B15,Questions!$D$4:$F$418,3,FALSE)</f>
        <v>Gestaltung des Ein-/Ausfahrtsbereiches</v>
      </c>
      <c r="E15" s="279"/>
      <c r="F15" s="279"/>
      <c r="G15" s="280"/>
      <c r="H15" s="734">
        <f>F16/$F$33*$I$38</f>
        <v>0.5161290322580645</v>
      </c>
      <c r="I15" s="734">
        <f>IF(ISNUMBER(SUM(G16:G17)),SUM(G16:G17)/F16*$H$15,0)</f>
        <v>0</v>
      </c>
      <c r="J15" s="747"/>
    </row>
    <row r="16" spans="1:10" x14ac:dyDescent="0.35">
      <c r="A16" s="751"/>
      <c r="B16" s="233" t="s">
        <v>2606</v>
      </c>
      <c r="C16" s="94"/>
      <c r="D16" s="90" t="str">
        <f ca="1">VLOOKUP(B16,Questions!$D$4:$F$418,3,FALSE)</f>
        <v>Einfahrt: Gute Erreichbarkeit des Ticketgebers:</v>
      </c>
      <c r="E16" s="61"/>
      <c r="F16" s="742">
        <v>2</v>
      </c>
      <c r="G16" s="15" t="str">
        <f>IF(COUNTIF(Question_YN_Yes,E16)&gt;0,1,IF(COUNTIF(Question_YN_No,E16)&gt;0,0,"NA"))</f>
        <v>NA</v>
      </c>
      <c r="H16" s="738"/>
      <c r="I16" s="738"/>
      <c r="J16" s="748"/>
    </row>
    <row r="17" spans="1:10" x14ac:dyDescent="0.35">
      <c r="A17" s="752"/>
      <c r="B17" s="233" t="s">
        <v>2607</v>
      </c>
      <c r="C17" s="94"/>
      <c r="D17" s="274" t="str">
        <f ca="1">VLOOKUP(B17,Questions!$D$4:$F$418,3,FALSE)</f>
        <v>Ausfahrt: Gute Erreichbarkeit des Ticketlesers:</v>
      </c>
      <c r="E17" s="281"/>
      <c r="F17" s="743"/>
      <c r="G17" s="282" t="str">
        <f>IF(COUNTIF(Question_YN_Yes,E17)&gt;0,1,IF(COUNTIF(Question_YN_No,E17)&gt;0,0,"NA"))</f>
        <v>NA</v>
      </c>
      <c r="H17" s="735"/>
      <c r="I17" s="735"/>
      <c r="J17" s="749"/>
    </row>
    <row r="18" spans="1:10" x14ac:dyDescent="0.35">
      <c r="A18" s="750" t="s">
        <v>39</v>
      </c>
      <c r="B18" s="233" t="s">
        <v>2609</v>
      </c>
      <c r="C18" s="248"/>
      <c r="D18" s="744" t="str">
        <f ca="1">VLOOKUP(B18,Questions!$D$4:$F$418,3,FALSE)</f>
        <v>Längsneigung bei den Ein- / Ausfahrtsterminals</v>
      </c>
      <c r="E18" s="745"/>
      <c r="F18" s="745"/>
      <c r="G18" s="746"/>
      <c r="H18" s="734">
        <f>F19/$F$33*$I$38</f>
        <v>0.5161290322580645</v>
      </c>
      <c r="I18" s="734">
        <f>IF(ISNUMBER(SUM(G19:G20)),SUM(G19:G20)/F19*$H$18,0)</f>
        <v>0</v>
      </c>
      <c r="J18" s="747"/>
    </row>
    <row r="19" spans="1:10" ht="50" x14ac:dyDescent="0.35">
      <c r="A19" s="751"/>
      <c r="B19" s="233" t="s">
        <v>2610</v>
      </c>
      <c r="C19" s="94"/>
      <c r="D19" s="273" t="str">
        <f ca="1">VLOOKUP(B19,Questions!$D$4:$F$418,3,FALSE)</f>
        <v>Einfahrt:
• 0 - 2% (Fahrzeug bewegt sich ungebremst nicht) = 1
• 2 - 5% = 0
• Über 5% = -1</v>
      </c>
      <c r="E19" s="64"/>
      <c r="F19" s="743">
        <v>2</v>
      </c>
      <c r="G19" s="277" t="str">
        <f>IF(COUNTIF(Q_3_6_0_to_2,E19)&gt;0,1,(IF(COUNTIF(Q_3_6_2_to_5,E19)&gt;0,0,(IF(COUNTIF(Q_3_6_above_5,E19)&gt;0,-1,"NA")))))</f>
        <v>NA</v>
      </c>
      <c r="H19" s="738"/>
      <c r="I19" s="738"/>
      <c r="J19" s="748"/>
    </row>
    <row r="20" spans="1:10" ht="50" x14ac:dyDescent="0.35">
      <c r="A20" s="752"/>
      <c r="B20" s="233" t="s">
        <v>2611</v>
      </c>
      <c r="C20" s="94"/>
      <c r="D20" s="90" t="str">
        <f ca="1">VLOOKUP(B20,Questions!$D$4:$F$418,3,FALSE)</f>
        <v>Ausfahrt:
• 0 - 2% (Fahrzeug bewegt sich ungebremst nicht) = 1
• 2 - 5% = 0
• Über 5% = -1</v>
      </c>
      <c r="E20" s="61"/>
      <c r="F20" s="733"/>
      <c r="G20" s="277" t="str">
        <f>IF(COUNTIF(Q_3_6_0_to_2,E20)&gt;0,1,(IF(COUNTIF(Q_3_6_2_to_5,E20)&gt;0,0,(IF(COUNTIF(Q_3_6_above_5,E20)&gt;0,-1,"NA")))))</f>
        <v>NA</v>
      </c>
      <c r="H20" s="735"/>
      <c r="I20" s="735"/>
      <c r="J20" s="749"/>
    </row>
    <row r="21" spans="1:10" ht="25" x14ac:dyDescent="0.35">
      <c r="A21" s="92" t="s">
        <v>40</v>
      </c>
      <c r="B21" s="233" t="s">
        <v>40</v>
      </c>
      <c r="C21" s="92"/>
      <c r="D21" s="83" t="str">
        <f ca="1">VLOOKUP(B21,Questions!$D$4:$F$418,3,FALSE)</f>
        <v>Design der Schrammborde, um Schaden an den Fahrzeugrädern zu verhindern:
(Ja = 2, kein Schutz = 0, keine Schrammborde in Ein-/Ausfahrt = 2)</v>
      </c>
      <c r="E21" s="63"/>
      <c r="F21" s="9">
        <v>2</v>
      </c>
      <c r="G21" s="575" t="str">
        <f>IF(COUNTIF(Q_3_7_Yes,E21)&gt;0,2,(IF(COUNTIF(Q_3_7_no_protection,E21)&gt;0,0,(IF(COUNTIF(Q_3_7_no_kerbs,E21)&gt;0,2,"NA")))))</f>
        <v>NA</v>
      </c>
      <c r="H21" s="34">
        <f>F21/$F$33*$I$38</f>
        <v>0.5161290322580645</v>
      </c>
      <c r="I21" s="34">
        <f>IF(ISNUMBER(SUM(G21)),SUM(G21)/F21*$H$21,0)</f>
        <v>0</v>
      </c>
      <c r="J21" s="86"/>
    </row>
    <row r="22" spans="1:10" ht="25" x14ac:dyDescent="0.35">
      <c r="A22" s="92" t="s">
        <v>41</v>
      </c>
      <c r="B22" s="233" t="s">
        <v>41</v>
      </c>
      <c r="C22" s="92"/>
      <c r="D22" s="241" t="str">
        <f ca="1">VLOOKUP(B22,Questions!$D$4:$F$418,3,FALSE)</f>
        <v>Rutschfeste Oberfläche in der Ein- und Ausfahrt: (vorhanden = 1, Rutschgefahr bei Nässe= 0)</v>
      </c>
      <c r="E22" s="63"/>
      <c r="F22" s="9">
        <v>1</v>
      </c>
      <c r="G22" s="575" t="str">
        <f>IF(COUNTIF(Q_3_8_Anti_Slip,E22)&gt;0,1,(IF(COUNTIF(Q_3_8_slippery_when_wet,E22)&gt;0,0,"NA")))</f>
        <v>NA</v>
      </c>
      <c r="H22" s="34">
        <f>F22/$F$33*$I$38</f>
        <v>0.25806451612903225</v>
      </c>
      <c r="I22" s="34">
        <f>IF(ISNUMBER(SUM(G22)),SUM(G22)/F22*$H$22,0)</f>
        <v>0</v>
      </c>
      <c r="J22" s="86"/>
    </row>
    <row r="23" spans="1:10" x14ac:dyDescent="0.35">
      <c r="A23" s="93" t="s">
        <v>42</v>
      </c>
      <c r="B23" s="233" t="s">
        <v>2612</v>
      </c>
      <c r="C23" s="248"/>
      <c r="D23" s="739" t="str">
        <f ca="1">VLOOKUP(B23,Questions!$D$4:$F$418,3,FALSE)</f>
        <v>Zufahrtskontrolle</v>
      </c>
      <c r="E23" s="740"/>
      <c r="F23" s="740"/>
      <c r="G23" s="741"/>
      <c r="H23" s="734">
        <f>F24/$F$33*$I$38</f>
        <v>1.5483870967741935</v>
      </c>
      <c r="I23" s="734">
        <f>IF(ISNUMBER(SUM(G24:G29)),SUM(G24:G29)/F24*$H$23,0)</f>
        <v>0</v>
      </c>
      <c r="J23" s="747"/>
    </row>
    <row r="24" spans="1:10" x14ac:dyDescent="0.35">
      <c r="A24" s="94"/>
      <c r="B24" s="233" t="s">
        <v>2613</v>
      </c>
      <c r="C24" s="94"/>
      <c r="D24" s="90" t="str">
        <f ca="1">VLOOKUP(B24,Questions!$D$4:$F$418,3,FALSE)</f>
        <v>Schranken</v>
      </c>
      <c r="E24" s="61"/>
      <c r="F24" s="742">
        <v>6</v>
      </c>
      <c r="G24" s="15" t="str">
        <f t="shared" ref="G24:G29" si="0">IF(COUNTIF(Question_YN_Yes,E24)&gt;0,1,IF(COUNTIF(Question_YN_No,E24)&gt;0,0,"NA"))</f>
        <v>NA</v>
      </c>
      <c r="H24" s="738"/>
      <c r="I24" s="738"/>
      <c r="J24" s="748"/>
    </row>
    <row r="25" spans="1:10" x14ac:dyDescent="0.35">
      <c r="A25" s="94"/>
      <c r="B25" s="233" t="s">
        <v>2614</v>
      </c>
      <c r="C25" s="94"/>
      <c r="D25" s="90" t="str">
        <f ca="1">VLOOKUP(B25,Questions!$D$4:$F$418,3,FALSE)</f>
        <v>Sprechstelle</v>
      </c>
      <c r="E25" s="61"/>
      <c r="F25" s="743"/>
      <c r="G25" s="15" t="str">
        <f t="shared" si="0"/>
        <v>NA</v>
      </c>
      <c r="H25" s="738"/>
      <c r="I25" s="738"/>
      <c r="J25" s="748"/>
    </row>
    <row r="26" spans="1:10" x14ac:dyDescent="0.35">
      <c r="A26" s="94"/>
      <c r="B26" s="233" t="s">
        <v>2615</v>
      </c>
      <c r="C26" s="94"/>
      <c r="D26" s="90" t="str">
        <f ca="1">VLOOKUP(B26,Questions!$D$4:$F$418,3,FALSE)</f>
        <v>Videoüberwachung</v>
      </c>
      <c r="E26" s="61"/>
      <c r="F26" s="743"/>
      <c r="G26" s="15" t="str">
        <f t="shared" si="0"/>
        <v>NA</v>
      </c>
      <c r="H26" s="738"/>
      <c r="I26" s="738"/>
      <c r="J26" s="748"/>
    </row>
    <row r="27" spans="1:10" x14ac:dyDescent="0.35">
      <c r="A27" s="94"/>
      <c r="B27" s="233" t="s">
        <v>2616</v>
      </c>
      <c r="C27" s="94"/>
      <c r="D27" s="90" t="str">
        <f ca="1">VLOOKUP(B27,Questions!$D$4:$F$418,3,FALSE)</f>
        <v>Kennzeichenerkennung</v>
      </c>
      <c r="E27" s="61"/>
      <c r="F27" s="743"/>
      <c r="G27" s="15" t="str">
        <f t="shared" si="0"/>
        <v>NA</v>
      </c>
      <c r="H27" s="738"/>
      <c r="I27" s="738"/>
      <c r="J27" s="748"/>
    </row>
    <row r="28" spans="1:10" x14ac:dyDescent="0.35">
      <c r="A28" s="94"/>
      <c r="B28" s="233" t="s">
        <v>2617</v>
      </c>
      <c r="C28" s="94"/>
      <c r="D28" s="90" t="str">
        <f ca="1">VLOOKUP(B28,Questions!$D$4:$F$418,3,FALSE)</f>
        <v>Schnelllauftore</v>
      </c>
      <c r="E28" s="61"/>
      <c r="F28" s="743"/>
      <c r="G28" s="15" t="str">
        <f t="shared" si="0"/>
        <v>NA</v>
      </c>
      <c r="H28" s="738"/>
      <c r="I28" s="738"/>
      <c r="J28" s="748"/>
    </row>
    <row r="29" spans="1:10" x14ac:dyDescent="0.35">
      <c r="A29" s="95"/>
      <c r="B29" s="233" t="s">
        <v>2618</v>
      </c>
      <c r="C29" s="94"/>
      <c r="D29" s="90" t="str">
        <f ca="1">VLOOKUP(B29,Questions!$D$4:$F$418,3,FALSE)</f>
        <v>Personal vor Ort (Ein- oder Ausfahrt)</v>
      </c>
      <c r="E29" s="62"/>
      <c r="F29" s="733"/>
      <c r="G29" s="17" t="str">
        <f t="shared" si="0"/>
        <v>NA</v>
      </c>
      <c r="H29" s="735"/>
      <c r="I29" s="735"/>
      <c r="J29" s="749"/>
    </row>
    <row r="30" spans="1:10" ht="25" x14ac:dyDescent="0.35">
      <c r="A30" s="93" t="s">
        <v>43</v>
      </c>
      <c r="B30" s="233" t="s">
        <v>43</v>
      </c>
      <c r="C30" s="93"/>
      <c r="D30" s="241" t="str">
        <f ca="1">VLOOKUP(B30,Questions!$D$4:$F$418,3,FALSE)</f>
        <v>Ausfahrtsschranke öffnet automatisch, wenn mittels Kennzeichenerkennung ein bezahltes Ticket erkannt wird: ja = 2, nein = 0</v>
      </c>
      <c r="E30" s="312"/>
      <c r="F30" s="265">
        <v>2</v>
      </c>
      <c r="G30" s="589" t="str">
        <f>IF(COUNTIF(Question_YN_Yes,E30)&gt;0,2,IF(COUNTIF(Question_YN_No,E30)&gt;0,0,"NA"))</f>
        <v>NA</v>
      </c>
      <c r="H30" s="267">
        <f>F30/$F$33*$I$38</f>
        <v>0.5161290322580645</v>
      </c>
      <c r="I30" s="267">
        <f>IF(ISNUMBER(SUM(G30)),SUM(G30)/F30*$H$30,0)</f>
        <v>0</v>
      </c>
      <c r="J30" s="268"/>
    </row>
    <row r="31" spans="1:10" ht="25" x14ac:dyDescent="0.35">
      <c r="A31" s="305" t="s">
        <v>89</v>
      </c>
      <c r="B31" s="247" t="s">
        <v>89</v>
      </c>
      <c r="C31" s="306"/>
      <c r="D31" s="307" t="str">
        <f ca="1">VLOOKUP(B31,Questions!$D$4:$F$418,3,FALSE)</f>
        <v>Ein- / Ausfahrtsbreiten: Durchfahrtsbreite zwischen Bauteilen/Schrammborden pro Spur (&lt; 3 m = 0; 3 - 3,30 m = 1; &gt; 3,30 m = 2)</v>
      </c>
      <c r="E31" s="313"/>
      <c r="F31" s="309">
        <v>2</v>
      </c>
      <c r="G31" s="589" t="str">
        <f>IF(TRIM(E31)="", "NA", IF(TRIM(E31)="&lt; 3 m", 0, IF(TRIM(E31)="3m – 3.3m", 1, IF(TRIM(E31)="&gt; 3.3m", 2, "NA"))))</f>
        <v>NA</v>
      </c>
      <c r="H31" s="310">
        <f>F31/$F$33*$I$38</f>
        <v>0.5161290322580645</v>
      </c>
      <c r="I31" s="267">
        <f>IF(ISNUMBER(G31), G31 * H31, 0)</f>
        <v>0</v>
      </c>
      <c r="J31" s="311"/>
    </row>
    <row r="32" spans="1:10" ht="25" x14ac:dyDescent="0.35">
      <c r="A32" s="318" t="s">
        <v>2619</v>
      </c>
      <c r="B32" s="247" t="s">
        <v>2619</v>
      </c>
      <c r="C32" s="306"/>
      <c r="D32" s="307" t="str">
        <f ca="1">VLOOKUP(B32,Questions!$D$4:$F$418,3,FALSE)</f>
        <v>Ausfahrt: Ausfahrtsspur endet mindestens 5 m vor Querverkehr (Fußgänger, Radfahrer):</v>
      </c>
      <c r="E32" s="319"/>
      <c r="F32" s="396">
        <v>1</v>
      </c>
      <c r="G32" s="421" t="str">
        <f>IF(COUNTIF(Question_YN_Yes,E32)&gt;0,1,IF(COUNTIF(Question_YN_No,E32)&gt;0,0,"NA"))</f>
        <v>NA</v>
      </c>
      <c r="H32" s="397">
        <f>F32/$F$33*$I$38</f>
        <v>0.25806451612903225</v>
      </c>
      <c r="I32" s="267">
        <f>IF(ISNUMBER(SUM(G32)),SUM(G32)/F32*$H$32,0)</f>
        <v>0</v>
      </c>
      <c r="J32" s="311"/>
    </row>
    <row r="33" spans="1:10" x14ac:dyDescent="0.35">
      <c r="A33" s="314"/>
      <c r="C33" s="314"/>
      <c r="D33" s="246" t="str">
        <f ca="1">CONCATENATE(Tags!$B$50," ",$D$1)</f>
        <v>Zwischensummen Einfahrt / Ausfahrt</v>
      </c>
      <c r="E33" s="315"/>
      <c r="F33" s="316">
        <f>SUM(F24:F32,F19:F22,F16,F5:F9,F11)</f>
        <v>31</v>
      </c>
      <c r="G33" s="317">
        <f>SUM(G5:G9,G11:G14,G16:G17,G19:G22,G24:G32)</f>
        <v>0</v>
      </c>
      <c r="H33" s="398">
        <f>SUM(H4:H32)</f>
        <v>7.9999999999999982</v>
      </c>
      <c r="I33" s="400">
        <f>SUM(I4:I32)</f>
        <v>0</v>
      </c>
      <c r="J33" s="399"/>
    </row>
    <row r="34" spans="1:10" x14ac:dyDescent="0.35"/>
    <row r="35" spans="1:10" s="13" customFormat="1" ht="13" customHeight="1" x14ac:dyDescent="0.35">
      <c r="D35" s="145" t="str">
        <f ca="1">Tags!B30</f>
        <v>Summe der Positionen</v>
      </c>
      <c r="E35" s="77">
        <v>12</v>
      </c>
      <c r="G35" s="145" t="str">
        <f ca="1">Tags!B34</f>
        <v>Punktzahl</v>
      </c>
      <c r="I35" s="79">
        <f>G33</f>
        <v>0</v>
      </c>
      <c r="J35" s="715" t="str">
        <f ca="1">'Detailed Results'!M8</f>
        <v>unvollständig</v>
      </c>
    </row>
    <row r="36" spans="1:10" s="13" customFormat="1" ht="13" customHeight="1" x14ac:dyDescent="0.35">
      <c r="D36" s="145" t="str">
        <f ca="1">Tags!B31</f>
        <v>Summe der Positionen und Unterpositionen</v>
      </c>
      <c r="E36" s="77">
        <v>24</v>
      </c>
      <c r="G36" s="145" t="str">
        <f ca="1">Tags!B35</f>
        <v>Maximale Punktzahl</v>
      </c>
      <c r="I36" s="79">
        <f>F33</f>
        <v>31</v>
      </c>
      <c r="J36" s="716"/>
    </row>
    <row r="37" spans="1:10" s="13" customFormat="1" ht="13" customHeight="1" x14ac:dyDescent="0.35">
      <c r="D37" s="145" t="str">
        <f ca="1">Tags!B32</f>
        <v>vollständige Positionen</v>
      </c>
      <c r="E37" s="79">
        <f>COUNTA(E5:E9,E11:E14,E16:E17,E19:E22,E24:E32)</f>
        <v>0</v>
      </c>
      <c r="G37" s="145" t="str">
        <f ca="1">Tags!B36</f>
        <v>Prozentsatz</v>
      </c>
      <c r="I37" s="80">
        <f>I35/I36</f>
        <v>0</v>
      </c>
      <c r="J37" s="716"/>
    </row>
    <row r="38" spans="1:10" s="13" customFormat="1" ht="13" customHeight="1" x14ac:dyDescent="0.35">
      <c r="D38" s="145" t="str">
        <f ca="1">Tags!B33</f>
        <v>nicht gemessen</v>
      </c>
      <c r="E38" s="79">
        <f>E36-E37</f>
        <v>24</v>
      </c>
      <c r="G38" s="145" t="str">
        <f ca="1">Tags!B37</f>
        <v>Wert der Kategorie</v>
      </c>
      <c r="I38" s="79">
        <f>VLOOKUP(A1,'Detailed Results'!$A$7:$M$15,11)</f>
        <v>8</v>
      </c>
      <c r="J38" s="717"/>
    </row>
    <row r="39" spans="1:10" x14ac:dyDescent="0.35"/>
    <row r="40" spans="1:10" ht="15.5" x14ac:dyDescent="0.35">
      <c r="A40" s="107" t="str">
        <f ca="1">Tags!B60</f>
        <v>Anmerkungen</v>
      </c>
      <c r="B40" s="107"/>
      <c r="C40" s="107"/>
    </row>
    <row r="41" spans="1:10" x14ac:dyDescent="0.35"/>
    <row r="42" spans="1:10" x14ac:dyDescent="0.35"/>
    <row r="43" spans="1:10" x14ac:dyDescent="0.35"/>
    <row r="44" spans="1:10" x14ac:dyDescent="0.35"/>
    <row r="45" spans="1:10" x14ac:dyDescent="0.35"/>
    <row r="46" spans="1:10" x14ac:dyDescent="0.35"/>
    <row r="47" spans="1:10" x14ac:dyDescent="0.35"/>
    <row r="48" spans="1:10"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sheetData>
  <sheetProtection algorithmName="SHA-512" hashValue="Eybkm4Qsv/7HipjKbq7Z3q1aBWxumQfnIDtMZc7CVN9LsbHaxANhDtJbeT/YYXY+TagRjWCY7SxQ0TJw7z7bng==" saltValue="Vo2VKmTpSsz6QAt6ZoVuYA==" spinCount="100000" sheet="1" formatRows="0" selectLockedCells="1"/>
  <mergeCells count="29">
    <mergeCell ref="J35:J38"/>
    <mergeCell ref="A10:A14"/>
    <mergeCell ref="I4:I7"/>
    <mergeCell ref="H4:H7"/>
    <mergeCell ref="J4:J7"/>
    <mergeCell ref="H10:H14"/>
    <mergeCell ref="I10:I14"/>
    <mergeCell ref="J10:J14"/>
    <mergeCell ref="A4:A7"/>
    <mergeCell ref="F5:F7"/>
    <mergeCell ref="D4:G4"/>
    <mergeCell ref="D10:G10"/>
    <mergeCell ref="F11:F14"/>
    <mergeCell ref="H23:H29"/>
    <mergeCell ref="J23:J29"/>
    <mergeCell ref="A15:A17"/>
    <mergeCell ref="J15:J17"/>
    <mergeCell ref="A18:A20"/>
    <mergeCell ref="H18:H20"/>
    <mergeCell ref="J18:J20"/>
    <mergeCell ref="I15:I17"/>
    <mergeCell ref="I23:I29"/>
    <mergeCell ref="I18:I20"/>
    <mergeCell ref="D23:G23"/>
    <mergeCell ref="F24:F29"/>
    <mergeCell ref="F16:F17"/>
    <mergeCell ref="D18:G18"/>
    <mergeCell ref="F19:F20"/>
    <mergeCell ref="H15:H17"/>
  </mergeCells>
  <phoneticPr fontId="24" type="noConversion"/>
  <conditionalFormatting sqref="J35:J38">
    <cfRule type="expression" dxfId="49" priority="1">
      <formula>#REF!="Fail"</formula>
    </cfRule>
    <cfRule type="expression" dxfId="48" priority="2">
      <formula>(#REF!="Pass")</formula>
    </cfRule>
  </conditionalFormatting>
  <dataValidations count="3">
    <dataValidation type="list" allowBlank="1" showInputMessage="1" showErrorMessage="1" sqref="E5:E7 E32 E11:E14 E16:E17 E24:E30" xr:uid="{00000000-0002-0000-0500-000000000000}">
      <formula1>YesNo</formula1>
    </dataValidation>
    <dataValidation type="custom" allowBlank="1" showInputMessage="1" showErrorMessage="1" sqref="E8" xr:uid="{00000000-0002-0000-0500-000001000000}">
      <formula1>AND(ISNUMBER(E8),E8&gt;=1)</formula1>
    </dataValidation>
    <dataValidation type="list" allowBlank="1" showInputMessage="1" showErrorMessage="1" sqref="E9" xr:uid="{00000000-0002-0000-0500-000002000000}">
      <formula1>p3_3</formula1>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5" id="{6F42F138-37DA-AC47-92B2-E7A9644FD9CF}">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3000000}">
          <x14:formula1>
            <xm:f>Answers!$B$31:$B$33</xm:f>
          </x14:formula1>
          <xm:sqref>E19:E20</xm:sqref>
        </x14:dataValidation>
        <x14:dataValidation type="list" allowBlank="1" showInputMessage="1" showErrorMessage="1" xr:uid="{00000000-0002-0000-0500-000004000000}">
          <x14:formula1>
            <xm:f>Answers!$B$35:$B$37</xm:f>
          </x14:formula1>
          <xm:sqref>E21</xm:sqref>
        </x14:dataValidation>
        <x14:dataValidation type="list" allowBlank="1" showInputMessage="1" showErrorMessage="1" xr:uid="{00000000-0002-0000-0500-000005000000}">
          <x14:formula1>
            <xm:f>Answers!$B$39:$B$40</xm:f>
          </x14:formula1>
          <xm:sqref>E22</xm:sqref>
        </x14:dataValidation>
        <x14:dataValidation type="list" allowBlank="1" showInputMessage="1" showErrorMessage="1" xr:uid="{00000000-0002-0000-0500-000006000000}">
          <x14:formula1>
            <xm:f>Answers!$B$42:$B$44</xm:f>
          </x14:formula1>
          <xm:sqref>E31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Q86"/>
  <sheetViews>
    <sheetView showGridLines="0" topLeftCell="A4" workbookViewId="0">
      <selection activeCell="E4" sqref="E4"/>
    </sheetView>
  </sheetViews>
  <sheetFormatPr baseColWidth="10" defaultColWidth="0" defaultRowHeight="14" zeroHeight="1" x14ac:dyDescent="0.35"/>
  <cols>
    <col min="1" max="1" width="4.81640625" style="13" customWidth="1"/>
    <col min="2" max="3" width="4.81640625" style="13" hidden="1" customWidth="1"/>
    <col min="4" max="4" width="58" style="13" customWidth="1"/>
    <col min="5" max="5" width="15.26953125" style="21" customWidth="1"/>
    <col min="6" max="7" width="11" style="13" customWidth="1"/>
    <col min="8" max="8" width="15.81640625" style="13" customWidth="1"/>
    <col min="9" max="9" width="12.453125" style="13" customWidth="1"/>
    <col min="10" max="10" width="48.453125" style="13" customWidth="1"/>
    <col min="11" max="11" width="0.453125" style="13" customWidth="1"/>
    <col min="12" max="12" width="8.81640625" style="13" hidden="1" customWidth="1"/>
    <col min="13" max="13" width="9.26953125" style="13" hidden="1" customWidth="1"/>
    <col min="14" max="15" width="8.81640625" style="13" hidden="1" customWidth="1"/>
    <col min="16" max="16" width="16.7265625" style="13" hidden="1" customWidth="1"/>
    <col min="17" max="17" width="23.81640625" style="13" hidden="1" customWidth="1"/>
    <col min="18" max="16384" width="8.81640625" style="13" hidden="1"/>
  </cols>
  <sheetData>
    <row r="1" spans="1:10" ht="28" customHeight="1" thickBot="1" x14ac:dyDescent="0.4">
      <c r="A1" s="481">
        <v>4</v>
      </c>
      <c r="B1" s="482">
        <v>4</v>
      </c>
      <c r="C1" s="482"/>
      <c r="D1" s="466" t="str">
        <f ca="1">VLOOKUP(A1,Questions!$D$4:$F$418,3,FALSE)</f>
        <v>Parkbereich</v>
      </c>
      <c r="E1" s="571"/>
      <c r="F1" s="484"/>
      <c r="G1" s="485" t="str">
        <f ca="1">IF(E41&gt;0,Tags!B21,Tags!B20)</f>
        <v>unvollständig</v>
      </c>
      <c r="H1" s="486" t="s">
        <v>485</v>
      </c>
      <c r="I1" s="487">
        <f>I41*I40</f>
        <v>0</v>
      </c>
      <c r="J1" s="488">
        <f>I40</f>
        <v>0</v>
      </c>
    </row>
    <row r="2" spans="1:10" ht="13" customHeight="1" x14ac:dyDescent="0.35"/>
    <row r="3" spans="1:10" ht="42" x14ac:dyDescent="0.35">
      <c r="A3" s="11">
        <v>4</v>
      </c>
      <c r="B3" s="11">
        <v>3</v>
      </c>
      <c r="C3" s="11"/>
      <c r="D3" s="331" t="str">
        <f ca="1">Tags!B55</f>
        <v>Positionsliste</v>
      </c>
      <c r="E3" s="56" t="str">
        <f ca="1">Tags!B56</f>
        <v>Messwerte</v>
      </c>
      <c r="F3" s="6" t="str">
        <f ca="1">G39</f>
        <v>Maximale Punktzahl</v>
      </c>
      <c r="G3" s="6" t="str">
        <f ca="1">G38</f>
        <v>Punktzahl</v>
      </c>
      <c r="H3" s="327" t="str">
        <f ca="1">Tags!B57</f>
        <v>maximaler Beitrag zum Endergebnis</v>
      </c>
      <c r="I3" s="327" t="str">
        <f ca="1">Tags!B58</f>
        <v>Beitrag zum Endergebnis</v>
      </c>
      <c r="J3" s="327" t="str">
        <f ca="1">Tags!B59</f>
        <v>Anmerkungen</v>
      </c>
    </row>
    <row r="4" spans="1:10" ht="62.5" x14ac:dyDescent="0.35">
      <c r="A4" s="92" t="s">
        <v>45</v>
      </c>
      <c r="B4" s="92" t="s">
        <v>45</v>
      </c>
      <c r="C4" s="92"/>
      <c r="D4" s="83" t="str">
        <f ca="1">VLOOKUP(B4,Questions!$D$4:$F$418,3,FALSE)</f>
        <v xml:space="preserve">Position der Säulen bei mindestens 85% der Stellplätze:
• ragen nicht in die Stellplätze = 8 
• im vorderen Bereich der Stellplätze = 0
• in der Nähe der Fahrzeugtüren = 0
• im hinteren Bereich der Stellplätze, aber ragen in die Stellplätze = 4 </v>
      </c>
      <c r="E4" s="63"/>
      <c r="F4" s="9">
        <v>8</v>
      </c>
      <c r="G4" s="575" t="str">
        <f>IF(COUNTIF(Q_4_1_Pillar_Does_Not_Intrude,E4)&gt;0,8,(IF(COUNTIF(Q_4_1_Pillar_Beginning_Stall,E4)&gt;0,0,(IF(COUNTIF(Q_4_1_Pillar_next_car_door,E4)&gt;0,0,(IF(COUNTIF(Q_4_1_Pillar_at_Back_of_Stall,E4)&gt;0,4,"NA")))))))</f>
        <v>NA</v>
      </c>
      <c r="H4" s="34">
        <f>F4/$F$35*$I$41</f>
        <v>3.1304347826086953</v>
      </c>
      <c r="I4" s="34">
        <f>IF(ISNUMBER(G4),G4/$I$39*$I$41,0)</f>
        <v>0</v>
      </c>
      <c r="J4" s="86"/>
    </row>
    <row r="5" spans="1:10" ht="25" x14ac:dyDescent="0.35">
      <c r="A5" s="93" t="s">
        <v>46</v>
      </c>
      <c r="B5" s="93" t="s">
        <v>46</v>
      </c>
      <c r="C5" s="93"/>
      <c r="D5" s="241" t="str">
        <f ca="1">VLOOKUP(B5,Questions!$D$4:$F$418,3,FALSE)</f>
        <v>Anfahrschutz an den Säulen: gute Qualität = 2; Standard = 1; keine = 0; irrelevant = 2)</v>
      </c>
      <c r="E5" s="275"/>
      <c r="F5" s="265">
        <v>2</v>
      </c>
      <c r="G5" s="589" t="str">
        <f>IF(COUNTIF(Q_4_2_Good_Quality,E5)&gt;0,2,(IF(COUNTIF(Q_4_2_Basic_Quality,E5)&gt;0,1,(IF(COUNTIF(Q_4_2_None,E5)&gt;0,0,IF(COUNTIF(Q_4_2_No_Pillars,E5),2,"NA"))))))</f>
        <v>NA</v>
      </c>
      <c r="H5" s="34">
        <f>F5/$F$35*$I$41</f>
        <v>0.78260869565217384</v>
      </c>
      <c r="I5" s="267">
        <f>IF(ISNUMBER(G5),G5/$I$39*$I$41,0)</f>
        <v>0</v>
      </c>
      <c r="J5" s="268"/>
    </row>
    <row r="6" spans="1:10" ht="25" x14ac:dyDescent="0.35">
      <c r="A6" s="305" t="s">
        <v>47</v>
      </c>
      <c r="B6" s="306" t="s">
        <v>47</v>
      </c>
      <c r="C6" s="306"/>
      <c r="D6" s="307" t="str">
        <f ca="1">VLOOKUP(B6,Questions!$D$4:$F$418,3,FALSE)</f>
        <v>Übersichtlichkeit (viele / wenige tote Winkel, Zwischenwände, etc.) Gut = 4; Mittel = 2; Schlecht = 0</v>
      </c>
      <c r="E6" s="332"/>
      <c r="F6" s="309">
        <v>4</v>
      </c>
      <c r="G6" s="590" t="str" cm="1">
        <f t="array" ref="G6">IF(COUNTIF(Q_4_3_Good,E6)&gt;0,4,(IF(COUNTIF(Q_4_3_Medium,E6)&gt;0,2,(IF(COUNTIF(Q_4_3_Bad,E6)&gt;0,0,"NA")))))</f>
        <v>NA</v>
      </c>
      <c r="H6" s="34">
        <f>F6/$F$35*$I$41</f>
        <v>1.5652173913043477</v>
      </c>
      <c r="I6" s="310">
        <f>IF(ISNUMBER(G6),G6/$I$39*$I$41,0)</f>
        <v>0</v>
      </c>
      <c r="J6" s="311"/>
    </row>
    <row r="7" spans="1:10" x14ac:dyDescent="0.35">
      <c r="A7" s="766" t="s">
        <v>48</v>
      </c>
      <c r="B7" s="333" t="s">
        <v>2690</v>
      </c>
      <c r="C7" s="333"/>
      <c r="D7" s="776" t="str">
        <f ca="1">VLOOKUP(B7,Questions!$D$4:$F$418,3,FALSE)</f>
        <v>Beschilderung</v>
      </c>
      <c r="E7" s="777"/>
      <c r="F7" s="777"/>
      <c r="G7" s="778"/>
      <c r="H7" s="769">
        <f>(F9+F11+F15)/$F$35*$I$41</f>
        <v>2.7391304347826089</v>
      </c>
      <c r="I7" s="753">
        <f>IF(ISNUMBER(SUM(G9,G11:G13,G15:G17)),SUM(G9,G11:G13,G15:G17)/(F9+F11+F15)*H7,"NA")</f>
        <v>0</v>
      </c>
      <c r="J7" s="772"/>
    </row>
    <row r="8" spans="1:10" x14ac:dyDescent="0.35">
      <c r="A8" s="767"/>
      <c r="B8" s="94" t="s">
        <v>2620</v>
      </c>
      <c r="C8" s="335"/>
      <c r="D8" s="739" t="str">
        <f ca="1">VLOOKUP(B8,Questions!$D$4:$F$418,3,FALSE)</f>
        <v>Beschilderung für Autofahrer</v>
      </c>
      <c r="E8" s="740"/>
      <c r="F8" s="740"/>
      <c r="G8" s="775"/>
      <c r="H8" s="770"/>
      <c r="I8" s="738"/>
      <c r="J8" s="773"/>
    </row>
    <row r="9" spans="1:10" x14ac:dyDescent="0.35">
      <c r="A9" s="767"/>
      <c r="B9" s="94" t="s">
        <v>2621</v>
      </c>
      <c r="C9" s="335"/>
      <c r="D9" s="336" t="str">
        <f ca="1">VLOOKUP(B9,Questions!$D$4:$F$418,3,FALSE)</f>
        <v>Entsprechen die Schilder dem nationalen Verkehrsrecht</v>
      </c>
      <c r="E9" s="423"/>
      <c r="F9" s="376">
        <v>1</v>
      </c>
      <c r="G9" s="337" t="str">
        <f>IF(COUNTIF(Question_YN_Yes,E9)&gt;0,1,IF(COUNTIF(Question_YN_No,E9)&gt;0,0,"NA"))</f>
        <v>NA</v>
      </c>
      <c r="H9" s="770"/>
      <c r="I9" s="738"/>
      <c r="J9" s="773"/>
    </row>
    <row r="10" spans="1:10" x14ac:dyDescent="0.35">
      <c r="A10" s="767"/>
      <c r="B10" s="94" t="s">
        <v>2622</v>
      </c>
      <c r="C10" s="335"/>
      <c r="D10" s="739" t="str">
        <f ca="1">VLOOKUP(B10,Questions!$D$4:$F$418,3,FALSE)</f>
        <v>Wegführung und Richtungsanzeigen: Ist die Beschilderung sauber, vollständig und eindeutig?</v>
      </c>
      <c r="E10" s="740"/>
      <c r="F10" s="740"/>
      <c r="G10" s="775" t="str">
        <f>IF(E10=yes,1,IF(E10=no,0,"NA"))</f>
        <v>NA</v>
      </c>
      <c r="H10" s="770"/>
      <c r="I10" s="738"/>
      <c r="J10" s="773"/>
    </row>
    <row r="11" spans="1:10" x14ac:dyDescent="0.35">
      <c r="A11" s="767"/>
      <c r="B11" s="94" t="s">
        <v>2623</v>
      </c>
      <c r="C11" s="335"/>
      <c r="D11" s="338" t="str">
        <f ca="1">VLOOKUP(B11,Questions!$D$4:$F$418,3,FALSE)</f>
        <v>Vollständig?</v>
      </c>
      <c r="E11" s="61"/>
      <c r="F11" s="742">
        <v>3</v>
      </c>
      <c r="G11" s="339" t="str">
        <f>IF(COUNTIF(Question_YN_Yes,E11)&gt;0,1,IF(COUNTIF(Question_YN_No,E11)&gt;0,0,"NA"))</f>
        <v>NA</v>
      </c>
      <c r="H11" s="770"/>
      <c r="I11" s="738"/>
      <c r="J11" s="773"/>
    </row>
    <row r="12" spans="1:10" x14ac:dyDescent="0.35">
      <c r="A12" s="767"/>
      <c r="B12" s="94" t="s">
        <v>2624</v>
      </c>
      <c r="C12" s="335"/>
      <c r="D12" s="338" t="str">
        <f ca="1">VLOOKUP(B12,Questions!$D$4:$F$418,3,FALSE)</f>
        <v>Gut erkennbar?</v>
      </c>
      <c r="E12" s="61"/>
      <c r="F12" s="743"/>
      <c r="G12" s="339" t="str">
        <f>IF(COUNTIF(Question_YN_Yes,E12)&gt;0,1,IF(COUNTIF(Question_YN_No,E12)&gt;0,0,"NA"))</f>
        <v>NA</v>
      </c>
      <c r="H12" s="770"/>
      <c r="I12" s="738"/>
      <c r="J12" s="773"/>
    </row>
    <row r="13" spans="1:10" x14ac:dyDescent="0.35">
      <c r="A13" s="767"/>
      <c r="B13" s="94" t="s">
        <v>2625</v>
      </c>
      <c r="C13" s="335"/>
      <c r="D13" s="340" t="str">
        <f ca="1">VLOOKUP(B13,Questions!$D$4:$F$418,3,FALSE)</f>
        <v>Eindeutig?</v>
      </c>
      <c r="E13" s="302"/>
      <c r="F13" s="761"/>
      <c r="G13" s="341" t="str">
        <f>IF(COUNTIF(Question_YN_Yes,E13)&gt;0,1,IF(COUNTIF(Question_YN_No,E13)&gt;0,0,"NA"))</f>
        <v>NA</v>
      </c>
      <c r="H13" s="770"/>
      <c r="I13" s="738"/>
      <c r="J13" s="773"/>
    </row>
    <row r="14" spans="1:10" x14ac:dyDescent="0.35">
      <c r="A14" s="767"/>
      <c r="B14" s="94" t="s">
        <v>2626</v>
      </c>
      <c r="C14" s="335"/>
      <c r="D14" s="739" t="str">
        <f ca="1">VLOOKUP(B14,Questions!$D$4:$F$418,3,FALSE)</f>
        <v>Ausfahrts- / Ausgangsbeschilderung: Ist die Beschilderung sauber, vollständig und eindeutig?</v>
      </c>
      <c r="E14" s="740"/>
      <c r="F14" s="740"/>
      <c r="G14" s="775"/>
      <c r="H14" s="770"/>
      <c r="I14" s="738"/>
      <c r="J14" s="773"/>
    </row>
    <row r="15" spans="1:10" x14ac:dyDescent="0.35">
      <c r="A15" s="767"/>
      <c r="B15" s="94" t="s">
        <v>2627</v>
      </c>
      <c r="C15" s="335"/>
      <c r="D15" s="338" t="str">
        <f ca="1">VLOOKUP(B15,Questions!$D$4:$F$418,3,FALSE)</f>
        <v>Vollständig?</v>
      </c>
      <c r="E15" s="61"/>
      <c r="F15" s="742">
        <v>3</v>
      </c>
      <c r="G15" s="339" t="str">
        <f>IF(COUNTIF(Question_YN_Yes,E15)&gt;0,1,IF(COUNTIF(Question_YN_No,E15)&gt;0,0,"NA"))</f>
        <v>NA</v>
      </c>
      <c r="H15" s="770"/>
      <c r="I15" s="738"/>
      <c r="J15" s="773"/>
    </row>
    <row r="16" spans="1:10" x14ac:dyDescent="0.35">
      <c r="A16" s="767"/>
      <c r="B16" s="300" t="s">
        <v>2628</v>
      </c>
      <c r="C16" s="342"/>
      <c r="D16" s="338" t="str">
        <f ca="1">VLOOKUP(B16,Questions!$D$4:$F$418,3,FALSE)</f>
        <v>Gut erkennbar?</v>
      </c>
      <c r="E16" s="61"/>
      <c r="F16" s="743"/>
      <c r="G16" s="339" t="str">
        <f>IF(COUNTIF(Question_YN_Yes,E16)&gt;0,1,IF(COUNTIF(Question_YN_No,E16)&gt;0,0,"NA"))</f>
        <v>NA</v>
      </c>
      <c r="H16" s="770"/>
      <c r="I16" s="738"/>
      <c r="J16" s="773"/>
    </row>
    <row r="17" spans="1:10" x14ac:dyDescent="0.35">
      <c r="A17" s="768"/>
      <c r="B17" s="300" t="s">
        <v>2629</v>
      </c>
      <c r="C17" s="300"/>
      <c r="D17" s="340" t="str">
        <f ca="1">VLOOKUP(B17,Questions!$D$4:$F$418,3,FALSE)</f>
        <v>Eindeutig?</v>
      </c>
      <c r="E17" s="302"/>
      <c r="F17" s="761"/>
      <c r="G17" s="341" t="str">
        <f>IF(COUNTIF(Question_YN_Yes,E17)&gt;0,1,IF(COUNTIF(Question_YN_No,E17)&gt;0,0,"NA"))</f>
        <v>NA</v>
      </c>
      <c r="H17" s="771"/>
      <c r="I17" s="754"/>
      <c r="J17" s="774"/>
    </row>
    <row r="18" spans="1:10" x14ac:dyDescent="0.35">
      <c r="A18" s="766" t="s">
        <v>49</v>
      </c>
      <c r="B18" s="333" t="s">
        <v>2630</v>
      </c>
      <c r="C18" s="333"/>
      <c r="D18" s="762" t="str">
        <f ca="1">VLOOKUP(B18,Questions!$D$4:$F$418,3,FALSE)</f>
        <v>Stellplatzmarkierung</v>
      </c>
      <c r="E18" s="740"/>
      <c r="F18" s="740">
        <v>2</v>
      </c>
      <c r="G18" s="741" t="str">
        <f t="shared" ref="G18:G21" si="0">IF(E18=yes,1,IF(E18=no,0,"NA"))</f>
        <v>NA</v>
      </c>
      <c r="H18" s="753">
        <f>(F19)/$F$35*$I$41</f>
        <v>0.78260869565217384</v>
      </c>
      <c r="I18" s="753">
        <f>IF(ISNUMBER(SUM(G19:G20)),SUM(G19:G20)/(F19)*H18,"NA")</f>
        <v>0</v>
      </c>
      <c r="J18" s="772"/>
    </row>
    <row r="19" spans="1:10" x14ac:dyDescent="0.35">
      <c r="A19" s="767"/>
      <c r="B19" s="94" t="s">
        <v>2631</v>
      </c>
      <c r="C19" s="94"/>
      <c r="D19" s="283" t="str">
        <f ca="1">VLOOKUP(B19,Questions!$D$4:$F$418,3,FALSE)</f>
        <v>Sind die Stellplätze deutlich gekennzeichnet?</v>
      </c>
      <c r="E19" s="61"/>
      <c r="F19" s="742">
        <v>2</v>
      </c>
      <c r="G19" s="339" t="str">
        <f>IF(COUNTIF(Question_YN_Yes,E19)&gt;0,1,IF(COUNTIF(Question_YN_No,E19)&gt;0,0,"NA"))</f>
        <v>NA</v>
      </c>
      <c r="H19" s="738"/>
      <c r="I19" s="738"/>
      <c r="J19" s="773"/>
    </row>
    <row r="20" spans="1:10" x14ac:dyDescent="0.35">
      <c r="A20" s="768"/>
      <c r="B20" s="343" t="s">
        <v>2632</v>
      </c>
      <c r="C20" s="343"/>
      <c r="D20" s="334" t="str">
        <f ca="1">VLOOKUP(B20,Questions!$D$4:$F$418,3,FALSE)</f>
        <v>Wird die Stellplatzmarkierung an der Wand zur Unterstützung des Fahrers fortgeführt?</v>
      </c>
      <c r="E20" s="302"/>
      <c r="F20" s="761"/>
      <c r="G20" s="341" t="str">
        <f>IF(COUNTIF(Question_YN_Yes,E20)&gt;0,1,IF(COUNTIF(Question_YN_No,E20)&gt;0,0,"NA"))</f>
        <v>NA</v>
      </c>
      <c r="H20" s="754"/>
      <c r="I20" s="754"/>
      <c r="J20" s="774"/>
    </row>
    <row r="21" spans="1:10" x14ac:dyDescent="0.35">
      <c r="A21" s="766" t="s">
        <v>50</v>
      </c>
      <c r="B21" s="333" t="s">
        <v>2633</v>
      </c>
      <c r="C21" s="333"/>
      <c r="D21" s="762" t="str">
        <f ca="1">VLOOKUP(B21,Questions!$D$4:$F$418,3,FALSE)</f>
        <v>Sind die Fahrbahnmarkierungen</v>
      </c>
      <c r="E21" s="740"/>
      <c r="F21" s="740">
        <v>3</v>
      </c>
      <c r="G21" s="741" t="str">
        <f t="shared" si="0"/>
        <v>NA</v>
      </c>
      <c r="H21" s="753">
        <f>(F22)/$F$35*$I$41</f>
        <v>1.1739130434782608</v>
      </c>
      <c r="I21" s="753">
        <f>IF(ISNUMBER(SUM(G22:G24)),SUM(G22:G24)/(F22)*H21,"NA")</f>
        <v>0</v>
      </c>
      <c r="J21" s="772"/>
    </row>
    <row r="22" spans="1:10" x14ac:dyDescent="0.35">
      <c r="A22" s="767"/>
      <c r="B22" s="94" t="s">
        <v>2634</v>
      </c>
      <c r="C22" s="94"/>
      <c r="D22" s="283" t="str">
        <f ca="1">VLOOKUP(B22,Questions!$D$4:$F$418,3,FALSE)</f>
        <v>Vollständig?</v>
      </c>
      <c r="E22" s="61"/>
      <c r="F22" s="742">
        <v>3</v>
      </c>
      <c r="G22" s="339" t="str">
        <f>IF(COUNTIF(Question_YN_Yes,E22)&gt;0,1,IF(COUNTIF(Question_YN_No,E22)&gt;0,0,"NA"))</f>
        <v>NA</v>
      </c>
      <c r="H22" s="738"/>
      <c r="I22" s="738"/>
      <c r="J22" s="773"/>
    </row>
    <row r="23" spans="1:10" x14ac:dyDescent="0.35">
      <c r="A23" s="767"/>
      <c r="B23" s="94" t="s">
        <v>2635</v>
      </c>
      <c r="C23" s="94"/>
      <c r="D23" s="283" t="str">
        <f ca="1">VLOOKUP(B23,Questions!$D$4:$F$418,3,FALSE)</f>
        <v>Gut erkennbar?</v>
      </c>
      <c r="E23" s="61"/>
      <c r="F23" s="743"/>
      <c r="G23" s="339" t="str">
        <f>IF(COUNTIF(Question_YN_Yes,E23)&gt;0,1,IF(COUNTIF(Question_YN_No,E23)&gt;0,0,"NA"))</f>
        <v>NA</v>
      </c>
      <c r="H23" s="738"/>
      <c r="I23" s="738"/>
      <c r="J23" s="773"/>
    </row>
    <row r="24" spans="1:10" x14ac:dyDescent="0.35">
      <c r="A24" s="768"/>
      <c r="B24" s="343" t="s">
        <v>2636</v>
      </c>
      <c r="C24" s="343"/>
      <c r="D24" s="334" t="str">
        <f ca="1">VLOOKUP(B24,Questions!$D$4:$F$418,3,FALSE)</f>
        <v>Eindeutig?</v>
      </c>
      <c r="E24" s="302"/>
      <c r="F24" s="761"/>
      <c r="G24" s="341" t="str">
        <f>IF(COUNTIF(Question_YN_Yes,E24)&gt;0,1,IF(COUNTIF(Question_YN_No,E24)&gt;0,0,"NA"))</f>
        <v>NA</v>
      </c>
      <c r="H24" s="754"/>
      <c r="I24" s="754"/>
      <c r="J24" s="774"/>
    </row>
    <row r="25" spans="1:10" x14ac:dyDescent="0.35">
      <c r="A25" s="782" t="s">
        <v>51</v>
      </c>
      <c r="B25" s="94" t="s">
        <v>2692</v>
      </c>
      <c r="C25" s="94"/>
      <c r="D25" s="762" t="str">
        <f ca="1">VLOOKUP(B25,Questions!$D$4:$F$418,3,FALSE)</f>
        <v>Stellplätze für Personen mit Einschränkungen</v>
      </c>
      <c r="E25" s="740"/>
      <c r="F25" s="740"/>
      <c r="G25" s="741"/>
      <c r="H25" s="753">
        <f>(F26)/$F$35*$I$41</f>
        <v>1.9565217391304348</v>
      </c>
      <c r="I25" s="753">
        <f>IF(ISNUMBER(SUM(G26:G30)),SUM(G26:G30)/(F26)*H25,"NA")</f>
        <v>0</v>
      </c>
      <c r="J25" s="779"/>
    </row>
    <row r="26" spans="1:10" ht="25" x14ac:dyDescent="0.35">
      <c r="A26" s="783"/>
      <c r="B26" s="94" t="s">
        <v>2637</v>
      </c>
      <c r="C26" s="94"/>
      <c r="D26" s="283" t="str">
        <f ca="1">VLOOKUP(B26,Questions!$D$4:$F$418,3,FALSE)</f>
        <v>Angabe von Stellplätzen mit barrierefreiem Zugang an der Einfahrt:</v>
      </c>
      <c r="E26" s="61"/>
      <c r="F26" s="742">
        <v>5</v>
      </c>
      <c r="G26" s="339" t="str">
        <f>IF(COUNTIF(Question_YN_Yes,E26)&gt;0,1,IF(COUNTIF(Question_YN_No,E26)&gt;0,0,"NA"))</f>
        <v>NA</v>
      </c>
      <c r="H26" s="738"/>
      <c r="I26" s="738"/>
      <c r="J26" s="780"/>
    </row>
    <row r="27" spans="1:10" x14ac:dyDescent="0.35">
      <c r="A27" s="783"/>
      <c r="B27" s="94" t="s">
        <v>2638</v>
      </c>
      <c r="C27" s="94"/>
      <c r="D27" s="283" t="str">
        <f ca="1">VLOOKUP(B27,Questions!$D$4:$F$418,3,FALSE)</f>
        <v>Barrierefreier Zugang?</v>
      </c>
      <c r="E27" s="61"/>
      <c r="F27" s="743"/>
      <c r="G27" s="339" t="str">
        <f>IF(COUNTIF(Question_YN_Yes,E27)&gt;0,1,IF(COUNTIF(Question_YN_No,E27)&gt;0,0,"NA"))</f>
        <v>NA</v>
      </c>
      <c r="H27" s="738"/>
      <c r="I27" s="738"/>
      <c r="J27" s="780"/>
    </row>
    <row r="28" spans="1:10" x14ac:dyDescent="0.35">
      <c r="A28" s="783"/>
      <c r="B28" s="94" t="s">
        <v>2639</v>
      </c>
      <c r="C28" s="94"/>
      <c r="D28" s="283" t="str">
        <f ca="1">VLOOKUP(B28,Questions!$D$4:$F$418,3,FALSE)</f>
        <v>Mindeststellplatzbreite: 3,50 m?</v>
      </c>
      <c r="E28" s="61"/>
      <c r="F28" s="743"/>
      <c r="G28" s="339" t="str">
        <f>IF(COUNTIF(Question_YN_Yes,E28)&gt;0,1,IF(COUNTIF(Question_YN_No,E28)&gt;0,0,"NA"))</f>
        <v>NA</v>
      </c>
      <c r="H28" s="738"/>
      <c r="I28" s="738"/>
      <c r="J28" s="780"/>
    </row>
    <row r="29" spans="1:10" x14ac:dyDescent="0.35">
      <c r="A29" s="783"/>
      <c r="B29" s="94" t="s">
        <v>2640</v>
      </c>
      <c r="C29" s="94"/>
      <c r="D29" s="283" t="str">
        <f ca="1">VLOOKUP(B29,Questions!$D$4:$F$418,3,FALSE)</f>
        <v>Nahe zum Fußgängerausgang?</v>
      </c>
      <c r="E29" s="61"/>
      <c r="F29" s="743"/>
      <c r="G29" s="339" t="str">
        <f>IF(COUNTIF(Question_YN_Yes,E29)&gt;0,1,IF(COUNTIF(Question_YN_No,E29)&gt;0,0,"NA"))</f>
        <v>NA</v>
      </c>
      <c r="H29" s="738"/>
      <c r="I29" s="738"/>
      <c r="J29" s="780"/>
    </row>
    <row r="30" spans="1:10" x14ac:dyDescent="0.35">
      <c r="A30" s="784"/>
      <c r="B30" s="92" t="s">
        <v>2641</v>
      </c>
      <c r="C30" s="92"/>
      <c r="D30" s="284" t="str">
        <f ca="1">VLOOKUP(B30,Questions!$D$4:$F$418,3,FALSE)</f>
        <v>Hinweisbeschilderung zu Stellplätzen für Personen mit Einschränkungen?</v>
      </c>
      <c r="E30" s="302"/>
      <c r="F30" s="733"/>
      <c r="G30" s="341" t="str">
        <f>IF(COUNTIF(Question_YN_Yes,E30)&gt;0,1,IF(COUNTIF(Question_YN_No,E30)&gt;0,0,"NA"))</f>
        <v>NA</v>
      </c>
      <c r="H30" s="735"/>
      <c r="I30" s="735"/>
      <c r="J30" s="781"/>
    </row>
    <row r="31" spans="1:10" ht="25" x14ac:dyDescent="0.35">
      <c r="A31" s="92" t="s">
        <v>52</v>
      </c>
      <c r="B31" s="92" t="s">
        <v>52</v>
      </c>
      <c r="C31" s="92"/>
      <c r="D31" s="83" t="str">
        <f ca="1">VLOOKUP(B31,Questions!$D$4:$F$418,3,FALSE)</f>
        <v>Einstellwinkel bei mindestens 85% der Stellplätze:  (76° - 90° = 0; 45° - 75° = 2)</v>
      </c>
      <c r="E31" s="63"/>
      <c r="F31" s="9">
        <v>2</v>
      </c>
      <c r="G31" s="575" t="str">
        <f>IF(COUNTIF(Q_4_8_75_90,E31)&gt;0,0,IF(COUNTIF(Q_4_8_45_75,E31)&gt;0,2,"NA"))</f>
        <v>NA</v>
      </c>
      <c r="H31" s="34">
        <f>F31/$I$39*$I$41</f>
        <v>0.78260869565217384</v>
      </c>
      <c r="I31" s="34">
        <f>IF(ISNUMBER(G31),G31/$I$39*$I$41,0)</f>
        <v>0</v>
      </c>
      <c r="J31" s="86"/>
    </row>
    <row r="32" spans="1:10" ht="100" x14ac:dyDescent="0.35">
      <c r="A32" s="92" t="s">
        <v>53</v>
      </c>
      <c r="B32" s="92" t="s">
        <v>53</v>
      </c>
      <c r="C32" s="92"/>
      <c r="D32" s="83" t="str">
        <f ca="1">VLOOKUP(B32,Questions!$D$4:$F$418,3,FALSE)</f>
        <v>Stellplatzbreite  (85 % der Stellplätze), A or B: 
A: Einstellwinkel 76° - 90°
(2,25m = -5; 2,30m = 0; 2,35m = 2; 2,40m = 4; 2,45m = 6; 2,50m = 8) 
B: Einstellwinkel 45° - 75°
(2,25m = -5; 2,30m = 1; 2,35m = 3; 2,40m = 5; 2,45m = 8)
Breite von 2,25m nur für renovierte Betriebe, neue Betrieben müssen mindestens 2,30m aufweisen.</v>
      </c>
      <c r="E32" s="449"/>
      <c r="F32" s="9">
        <v>8</v>
      </c>
      <c r="G32" s="407">
        <f>IF(G31=2,IF(E32&gt;=2.45,8,IF(E32&gt;=2.4,5,IF(E32&gt;=2.35,3,IF(E32&gt;=2.3,1,IF(ISBLANK(E31),0,-5))))),IF(E32&gt;=2.5,8,IF(E32&gt;=2.45,6,IF(E32&gt;=2.4,4,IF(E32&gt;=2.35,2,IF(E32&gt;=2.3,0,IF(ISBLANK(E31),0,-5)))))))</f>
        <v>0</v>
      </c>
      <c r="H32" s="34">
        <f>F32/$I$39*$I$41</f>
        <v>3.1304347826086953</v>
      </c>
      <c r="I32" s="34">
        <f>IF(ISNUMBER(G32),G32/$I$39*$I$41,0)</f>
        <v>0</v>
      </c>
      <c r="J32" s="86"/>
    </row>
    <row r="33" spans="1:10" ht="225" x14ac:dyDescent="0.35">
      <c r="A33" s="92" t="s">
        <v>54</v>
      </c>
      <c r="B33" s="92" t="s">
        <v>54</v>
      </c>
      <c r="C33" s="92"/>
      <c r="D33" s="83" t="str">
        <f ca="1">VLOOKUP(B33,Questions!$D$4:$F$418,3,FALSE)</f>
        <v>Fahrbahnbreite bei Einbahnbetrieb und zwei Stellplatzreihen, abhängig von Einstellwinkel und Stellplatzbreite:
Stellplatzbreite: 2,50m / 2,45m / 2,40m / 2,35m / 2,30m
90° :           16,00 /  16,30 /  16,60 /  16,90 / 17,30
85° :           15,70 /  16,00 /  16,30 /  16,60 / 16,95
80° :           15,40 /  15,70 /  16,00 /  16,30 / 16,60
75° :           14,95 /  15,25 /  15,55 /  15,85 / 16,15
70° :           14,50 /  14,80 /  15,10 /  15,40 / 15,70
65° :           14,40 /  14,40 /  14,55 /  14,80 / 15,10
60° :           14,30 /  14,30 /  14,30 /  14,30 / 14,50
55° :           14,00 /  14,00 /  14,00 /  14,00 / 14,10
50° :           13,75 /  13,75 /  13,75 /  13,75 / 13,75
45° :           13,50 /  13,50 /  13,50 /  13,50 / 13,50
Die oben genannten Breiten qualifizieren für 3 Punkte. 
Bis 0,30 m unter den o.a. Werten: 2 Punkte
Bis 0,60 m unter den o.a. Werten: 1 Punkt
Mehr als 0,60 m unter den o.a. Werten: 0 Punkte</v>
      </c>
      <c r="E33" s="63"/>
      <c r="F33" s="9">
        <v>3</v>
      </c>
      <c r="G33" s="575" t="str" cm="1">
        <f t="array" ref="G33">IF(COUNTIF(Q_4_10_Compliant_with_Table,E33)&gt;0,3,(IF(COUNTIF(Q_4_10_up_30_less,E33)&gt;0,2,(IF(COUNTIF(Q_4_10_up_60_less,E33)&gt;0,1,(IF(COUNTIF(Q_4_10_more_60,E33)&gt;0,0,"NA")))))))</f>
        <v>NA</v>
      </c>
      <c r="H33" s="34">
        <f>F33/$I$39*$I$41</f>
        <v>1.1739130434782608</v>
      </c>
      <c r="I33" s="34">
        <f>IF(ISNUMBER(G33),G33/$I$39*$I$41,0)</f>
        <v>0</v>
      </c>
      <c r="J33" s="86"/>
    </row>
    <row r="34" spans="1:10" ht="25" x14ac:dyDescent="0.35">
      <c r="A34" s="260" t="s">
        <v>2642</v>
      </c>
      <c r="B34" s="145" t="s">
        <v>2642</v>
      </c>
      <c r="C34" s="260"/>
      <c r="D34" s="83" t="str">
        <f ca="1">VLOOKUP(B34,Questions!$D$4:$F$418,3,FALSE)</f>
        <v>Design der Schrammborde, um Schaden an den Fahrzeugrädern zu verhindern:
(Ja = 2, kein Schutz = 0, keine Schrammborde = 2)</v>
      </c>
      <c r="E34" s="261"/>
      <c r="F34" s="9">
        <v>2</v>
      </c>
      <c r="G34" s="589" t="str">
        <f>IF(COUNTIF(option_yes_Kerbs,E34)&gt;0,2,(IF(COUNTIF(option_No_protection_kerbs,E34)&gt;0,0,(IF(COUNTIF(optiob_no_kerbs,E34)&gt;0,2,"NA")))))</f>
        <v>NA</v>
      </c>
      <c r="H34" s="34">
        <f>F34/$I$39*$I$41</f>
        <v>0.78260869565217384</v>
      </c>
      <c r="I34" s="34">
        <f>IF(ISNUMBER(G34),G34/$I$39*$I$41,0)</f>
        <v>0</v>
      </c>
      <c r="J34" s="86"/>
    </row>
    <row r="35" spans="1:10" ht="14.5" x14ac:dyDescent="0.35">
      <c r="A35" s="97"/>
      <c r="C35" s="145"/>
      <c r="D35" s="85" t="str">
        <f ca="1">CONCATENATE(Tags!$B$50," ",$D$1)</f>
        <v>Zwischensummen Parkbereich</v>
      </c>
      <c r="E35" s="77"/>
      <c r="F35" s="1">
        <f>F34+F33+F32+F31+F26+F22+F19+F15+F11+F9+F6+F5+F4</f>
        <v>46</v>
      </c>
      <c r="G35" s="7">
        <f>SUM(G4:G6,G9,G11:G13,G15:G17,G19:G20,G22:G24,G26:G34)</f>
        <v>0</v>
      </c>
      <c r="H35" s="7">
        <f>SUM(H4:H33)</f>
        <v>17.217391304347828</v>
      </c>
      <c r="I35" s="35">
        <f>SUM(I4:I33)</f>
        <v>0</v>
      </c>
      <c r="J35" s="96"/>
    </row>
    <row r="36" spans="1:10" x14ac:dyDescent="0.35"/>
    <row r="37" spans="1:10" x14ac:dyDescent="0.35"/>
    <row r="38" spans="1:10" ht="13" customHeight="1" x14ac:dyDescent="0.35">
      <c r="D38" s="145" t="str">
        <f ca="1">Tags!B30</f>
        <v>Summe der Positionen</v>
      </c>
      <c r="E38" s="77">
        <v>11</v>
      </c>
      <c r="G38" s="145" t="str">
        <f ca="1">Tags!B34</f>
        <v>Punktzahl</v>
      </c>
      <c r="I38" s="79">
        <f>G35</f>
        <v>0</v>
      </c>
      <c r="J38" s="715" t="str">
        <f ca="1">'Detailed Results'!M9</f>
        <v>unvollständig</v>
      </c>
    </row>
    <row r="39" spans="1:10" ht="13" customHeight="1" x14ac:dyDescent="0.35">
      <c r="D39" s="145" t="str">
        <f ca="1">Tags!B31</f>
        <v>Summe der Positionen und Unterpositionen</v>
      </c>
      <c r="E39" s="77">
        <v>24</v>
      </c>
      <c r="G39" s="145" t="str">
        <f ca="1">Tags!B35</f>
        <v>Maximale Punktzahl</v>
      </c>
      <c r="I39" s="79">
        <f>H36+F35</f>
        <v>46</v>
      </c>
      <c r="J39" s="716"/>
    </row>
    <row r="40" spans="1:10" ht="13" customHeight="1" x14ac:dyDescent="0.35">
      <c r="D40" s="145" t="str">
        <f ca="1">Tags!B32</f>
        <v>vollständige Positionen</v>
      </c>
      <c r="E40" s="79">
        <f>COUNTA(E4:E6,E9,E11:E13,E15:E17,E19:E20,E22:E24,E26:E34)</f>
        <v>0</v>
      </c>
      <c r="G40" s="145" t="str">
        <f ca="1">Tags!B36</f>
        <v>Prozentsatz</v>
      </c>
      <c r="I40" s="80">
        <f>I38/I39</f>
        <v>0</v>
      </c>
      <c r="J40" s="716"/>
    </row>
    <row r="41" spans="1:10" ht="13" customHeight="1" x14ac:dyDescent="0.35">
      <c r="D41" s="145" t="str">
        <f ca="1">Tags!B33</f>
        <v>nicht gemessen</v>
      </c>
      <c r="E41" s="79">
        <f>E39-E40</f>
        <v>24</v>
      </c>
      <c r="G41" s="145" t="str">
        <f ca="1">Tags!B37</f>
        <v>Wert der Kategorie</v>
      </c>
      <c r="I41" s="79">
        <f>VLOOKUP(A1,'Detailed Results'!$A$7:$M$15,11)</f>
        <v>18</v>
      </c>
      <c r="J41" s="717"/>
    </row>
    <row r="42" spans="1:10" x14ac:dyDescent="0.35"/>
    <row r="43" spans="1:10" ht="15.5" x14ac:dyDescent="0.35">
      <c r="A43" s="107" t="str">
        <f ca="1">Tags!B60</f>
        <v>Anmerkungen</v>
      </c>
      <c r="B43" s="107"/>
      <c r="C43" s="107"/>
    </row>
    <row r="44" spans="1:10" x14ac:dyDescent="0.35"/>
    <row r="45" spans="1:10" x14ac:dyDescent="0.35"/>
    <row r="46" spans="1:10" x14ac:dyDescent="0.35"/>
    <row r="47" spans="1:10" x14ac:dyDescent="0.35"/>
    <row r="48" spans="1:10" x14ac:dyDescent="0.35"/>
    <row r="49" spans="5:9" x14ac:dyDescent="0.35"/>
    <row r="50" spans="5:9" x14ac:dyDescent="0.35"/>
    <row r="51" spans="5:9" x14ac:dyDescent="0.35"/>
    <row r="52" spans="5:9" x14ac:dyDescent="0.35"/>
    <row r="53" spans="5:9" x14ac:dyDescent="0.35"/>
    <row r="54" spans="5:9" x14ac:dyDescent="0.35"/>
    <row r="55" spans="5:9" x14ac:dyDescent="0.35"/>
    <row r="56" spans="5:9" x14ac:dyDescent="0.35"/>
    <row r="57" spans="5:9" x14ac:dyDescent="0.35"/>
    <row r="58" spans="5:9" x14ac:dyDescent="0.35"/>
    <row r="59" spans="5:9" x14ac:dyDescent="0.35"/>
    <row r="60" spans="5:9" x14ac:dyDescent="0.35"/>
    <row r="61" spans="5:9" x14ac:dyDescent="0.35"/>
    <row r="62" spans="5:9" x14ac:dyDescent="0.35"/>
    <row r="63" spans="5:9" x14ac:dyDescent="0.35"/>
    <row r="64" spans="5:9" ht="14.5" hidden="1" x14ac:dyDescent="0.35">
      <c r="E64" s="21" t="s">
        <v>1802</v>
      </c>
      <c r="F64" s="147">
        <f>IF(opt_angle=F75,2,IF(opt_angle=F76,3,4))</f>
        <v>4</v>
      </c>
      <c r="H64" s="13" t="s">
        <v>1798</v>
      </c>
      <c r="I64" s="147" t="e">
        <f>MATCH('4. Parking Area'!$E$31,$E$67:$E$72)</f>
        <v>#N/A</v>
      </c>
    </row>
    <row r="65" spans="5:9" x14ac:dyDescent="0.35"/>
    <row r="66" spans="5:9" ht="14.5" hidden="1" x14ac:dyDescent="0.35">
      <c r="E66" s="148"/>
      <c r="F66" s="148" t="s">
        <v>1800</v>
      </c>
      <c r="G66" s="148" t="s">
        <v>235</v>
      </c>
      <c r="H66" s="148" t="s">
        <v>236</v>
      </c>
      <c r="I66" s="148" t="s">
        <v>1799</v>
      </c>
    </row>
    <row r="67" spans="5:9" ht="14.5" hidden="1" x14ac:dyDescent="0.35">
      <c r="E67" s="148" t="str">
        <f>Answers!B63</f>
        <v xml:space="preserve"> 2.25 m - 2.30 m</v>
      </c>
      <c r="F67" s="148">
        <v>1</v>
      </c>
      <c r="G67" s="148">
        <v>-5</v>
      </c>
      <c r="H67" s="148">
        <v>-5</v>
      </c>
      <c r="I67" s="148" t="s">
        <v>237</v>
      </c>
    </row>
    <row r="68" spans="5:9" ht="14.5" hidden="1" x14ac:dyDescent="0.35">
      <c r="E68" s="148" t="str">
        <f>Answers!B64</f>
        <v xml:space="preserve"> 2.30 m - 2.35 m</v>
      </c>
      <c r="F68" s="148">
        <v>2</v>
      </c>
      <c r="G68" s="148">
        <v>0</v>
      </c>
      <c r="H68" s="148">
        <v>1</v>
      </c>
      <c r="I68" s="148" t="s">
        <v>237</v>
      </c>
    </row>
    <row r="69" spans="5:9" ht="14.5" hidden="1" x14ac:dyDescent="0.35">
      <c r="E69" s="148" t="str">
        <f>Answers!B65</f>
        <v xml:space="preserve"> 2.35 m - 2.40 m</v>
      </c>
      <c r="F69" s="148">
        <v>3</v>
      </c>
      <c r="G69" s="148">
        <v>2</v>
      </c>
      <c r="H69" s="148">
        <v>3</v>
      </c>
      <c r="I69" s="148" t="s">
        <v>237</v>
      </c>
    </row>
    <row r="70" spans="5:9" ht="14.5" hidden="1" x14ac:dyDescent="0.35">
      <c r="E70" s="148" t="str">
        <f>Answers!B66</f>
        <v xml:space="preserve"> 2.40 m - 2.45 m</v>
      </c>
      <c r="F70" s="148">
        <v>4</v>
      </c>
      <c r="G70" s="148">
        <v>4</v>
      </c>
      <c r="H70" s="148">
        <v>5</v>
      </c>
      <c r="I70" s="148" t="s">
        <v>237</v>
      </c>
    </row>
    <row r="71" spans="5:9" ht="14.5" hidden="1" x14ac:dyDescent="0.35">
      <c r="E71" s="148" t="str">
        <f>Answers!B67</f>
        <v xml:space="preserve"> 2.45 m - 2.50 m</v>
      </c>
      <c r="F71" s="148">
        <v>5</v>
      </c>
      <c r="G71" s="148">
        <v>6</v>
      </c>
      <c r="H71" s="148">
        <v>8</v>
      </c>
      <c r="I71" s="148" t="s">
        <v>237</v>
      </c>
    </row>
    <row r="72" spans="5:9" ht="14.5" hidden="1" x14ac:dyDescent="0.35">
      <c r="E72" s="148" t="str">
        <f>Answers!B68</f>
        <v xml:space="preserve"> über 2.50 m</v>
      </c>
      <c r="F72" s="148">
        <v>6</v>
      </c>
      <c r="G72" s="148">
        <v>8</v>
      </c>
      <c r="H72" s="148">
        <v>8</v>
      </c>
      <c r="I72" s="148" t="s">
        <v>237</v>
      </c>
    </row>
    <row r="73" spans="5:9" ht="14.5" hidden="1" x14ac:dyDescent="0.35">
      <c r="E73" s="148"/>
      <c r="F73"/>
      <c r="G73" s="8" t="s">
        <v>237</v>
      </c>
      <c r="H73" s="8" t="s">
        <v>237</v>
      </c>
      <c r="I73" t="s">
        <v>237</v>
      </c>
    </row>
    <row r="74" spans="5:9" ht="14.5" hidden="1" x14ac:dyDescent="0.35">
      <c r="F74"/>
      <c r="G74"/>
      <c r="H74"/>
      <c r="I74"/>
    </row>
    <row r="75" spans="5:9" hidden="1" x14ac:dyDescent="0.35">
      <c r="E75" s="21" t="s">
        <v>1801</v>
      </c>
      <c r="F75" s="13" t="str">
        <f>Answers!B60</f>
        <v>Winkel 76°-90°</v>
      </c>
    </row>
    <row r="76" spans="5:9" hidden="1" x14ac:dyDescent="0.35">
      <c r="F76" s="13" t="str">
        <f>Answers!B61</f>
        <v>Winkel 45°-75°</v>
      </c>
    </row>
    <row r="77" spans="5:9" x14ac:dyDescent="0.35"/>
    <row r="78" spans="5:9" x14ac:dyDescent="0.35"/>
    <row r="79" spans="5:9" x14ac:dyDescent="0.35"/>
    <row r="80" spans="5:9" x14ac:dyDescent="0.35"/>
    <row r="81" x14ac:dyDescent="0.35"/>
    <row r="82" x14ac:dyDescent="0.35"/>
    <row r="83" x14ac:dyDescent="0.35"/>
    <row r="84" x14ac:dyDescent="0.35"/>
    <row r="85" x14ac:dyDescent="0.35"/>
    <row r="86" x14ac:dyDescent="0.35"/>
  </sheetData>
  <sheetProtection algorithmName="SHA-512" hashValue="vIEfcmlENMU6KHQjbKWn2zzxLUgkBVXwYRDxwZjIy+u4N3d8njiKL5EZeFSYSFvGwC69yZgWf6nTcOGnWYVCbA==" saltValue="8Fjb7SefzjKIDn24wyp2YQ==" spinCount="100000" sheet="1" formatRows="0" selectLockedCells="1"/>
  <mergeCells count="29">
    <mergeCell ref="A18:A20"/>
    <mergeCell ref="A21:A24"/>
    <mergeCell ref="A25:A30"/>
    <mergeCell ref="F22:F24"/>
    <mergeCell ref="F26:F30"/>
    <mergeCell ref="I25:I30"/>
    <mergeCell ref="J25:J30"/>
    <mergeCell ref="F19:F20"/>
    <mergeCell ref="D10:G10"/>
    <mergeCell ref="D14:G14"/>
    <mergeCell ref="D18:G18"/>
    <mergeCell ref="F11:F13"/>
    <mergeCell ref="F15:F17"/>
    <mergeCell ref="A7:A17"/>
    <mergeCell ref="H7:H17"/>
    <mergeCell ref="I7:I17"/>
    <mergeCell ref="J7:J17"/>
    <mergeCell ref="J38:J41"/>
    <mergeCell ref="D8:G8"/>
    <mergeCell ref="D7:G7"/>
    <mergeCell ref="D21:G21"/>
    <mergeCell ref="D25:G25"/>
    <mergeCell ref="J18:J20"/>
    <mergeCell ref="I18:I20"/>
    <mergeCell ref="H18:H20"/>
    <mergeCell ref="H21:H24"/>
    <mergeCell ref="I21:I24"/>
    <mergeCell ref="J21:J24"/>
    <mergeCell ref="H25:H30"/>
  </mergeCells>
  <phoneticPr fontId="24" type="noConversion"/>
  <conditionalFormatting sqref="J38:J41">
    <cfRule type="expression" dxfId="46" priority="1">
      <formula>#REF!="Fail"</formula>
    </cfRule>
    <cfRule type="expression" dxfId="45" priority="2">
      <formula>(#REF!="Pass")</formula>
    </cfRule>
  </conditionalFormatting>
  <dataValidations count="6">
    <dataValidation type="list" allowBlank="1" showInputMessage="1" showErrorMessage="1" sqref="E9:E24 E26:E30" xr:uid="{00000000-0002-0000-0600-000000000000}">
      <formula1>YesNo</formula1>
    </dataValidation>
    <dataValidation type="list" allowBlank="1" showInputMessage="1" showErrorMessage="1" sqref="E4" xr:uid="{00000000-0002-0000-0600-000001000000}">
      <formula1>Q_4_1</formula1>
    </dataValidation>
    <dataValidation type="list" allowBlank="1" showInputMessage="1" showErrorMessage="1" sqref="E5" xr:uid="{00000000-0002-0000-0600-000002000000}">
      <formula1>Q_4_2</formula1>
    </dataValidation>
    <dataValidation type="list" allowBlank="1" showInputMessage="1" showErrorMessage="1" sqref="E31" xr:uid="{00000000-0002-0000-0600-000004000000}">
      <formula1>Q_4_8</formula1>
    </dataValidation>
    <dataValidation type="list" allowBlank="1" showInputMessage="1" showErrorMessage="1" sqref="E6" xr:uid="{A6D7D1DD-CA3A-764B-8316-3A64166313B8}">
      <formula1>O_4_3</formula1>
    </dataValidation>
    <dataValidation type="decimal" allowBlank="1" showInputMessage="1" showErrorMessage="1" sqref="E32" xr:uid="{CAA2FAAD-FB4C-6B42-8D4D-351851BA2AB5}">
      <formula1>1.5</formula1>
      <formula2>5</formula2>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5" id="{9A982F5C-8AB0-2A4C-88FC-CCF00DA45351}">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5000000}">
          <x14:formula1>
            <xm:f>Answers!$B$75:$B$77</xm:f>
          </x14:formula1>
          <xm:sqref>E34</xm:sqref>
        </x14:dataValidation>
        <x14:dataValidation type="list" allowBlank="1" showInputMessage="1" showErrorMessage="1" xr:uid="{00000000-0002-0000-0600-000006000000}">
          <x14:formula1>
            <xm:f>Answers!$B$70:$B$73</xm:f>
          </x14:formula1>
          <xm:sqref>E33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55"/>
  <sheetViews>
    <sheetView showGridLines="0" zoomScaleNormal="100" workbookViewId="0">
      <selection activeCell="E4" sqref="E4"/>
    </sheetView>
  </sheetViews>
  <sheetFormatPr baseColWidth="10" defaultColWidth="0" defaultRowHeight="14" zeroHeight="1" x14ac:dyDescent="0.35"/>
  <cols>
    <col min="1" max="1" width="4.81640625" style="13" customWidth="1"/>
    <col min="2" max="3" width="4.81640625" style="13" hidden="1" customWidth="1"/>
    <col min="4" max="4" width="58" style="13" customWidth="1"/>
    <col min="5" max="5" width="15.26953125" style="13" customWidth="1"/>
    <col min="6" max="7" width="11" style="13" customWidth="1"/>
    <col min="8" max="8" width="15.81640625" style="13" customWidth="1"/>
    <col min="9" max="9" width="12.453125" style="13" customWidth="1"/>
    <col min="10" max="10" width="48.453125" style="13" customWidth="1"/>
    <col min="11" max="11" width="0.453125" style="13" customWidth="1"/>
    <col min="12" max="16384" width="8.81640625" style="13" hidden="1"/>
  </cols>
  <sheetData>
    <row r="1" spans="1:10" ht="28" customHeight="1" thickBot="1" x14ac:dyDescent="0.4">
      <c r="A1" s="481">
        <v>5</v>
      </c>
      <c r="B1" s="482">
        <v>5</v>
      </c>
      <c r="C1" s="482"/>
      <c r="D1" s="466" t="str">
        <f ca="1">VLOOKUP(A1,Questions!$D$4:$F$418,3,FALSE)</f>
        <v>Auf-/Abfahrtsrampen</v>
      </c>
      <c r="E1" s="483"/>
      <c r="F1" s="484"/>
      <c r="G1" s="485" t="str">
        <f ca="1">IF(E17&gt;0,Tags!B21,Tags!B20)</f>
        <v>unvollständig</v>
      </c>
      <c r="H1" s="486" t="s">
        <v>485</v>
      </c>
      <c r="I1" s="487">
        <f>I16*I17</f>
        <v>0</v>
      </c>
      <c r="J1" s="488">
        <f>I16</f>
        <v>0</v>
      </c>
    </row>
    <row r="2" spans="1:10" ht="13" customHeight="1" x14ac:dyDescent="0.35"/>
    <row r="3" spans="1:10" ht="42" x14ac:dyDescent="0.35">
      <c r="A3" s="29"/>
      <c r="B3" s="29">
        <v>3</v>
      </c>
      <c r="C3" s="29"/>
      <c r="D3" s="331" t="str">
        <f ca="1">Tags!B55</f>
        <v>Positionsliste</v>
      </c>
      <c r="E3" s="56" t="str">
        <f ca="1">Tags!B56</f>
        <v>Messwerte</v>
      </c>
      <c r="F3" s="6" t="str">
        <f ca="1">G15</f>
        <v>Maximale Punktzahl</v>
      </c>
      <c r="G3" s="6" t="str">
        <f ca="1">G14</f>
        <v>Punktzahl</v>
      </c>
      <c r="H3" s="327" t="str">
        <f ca="1">Tags!B57</f>
        <v>maximaler Beitrag zum Endergebnis</v>
      </c>
      <c r="I3" s="327" t="str">
        <f ca="1">Tags!B58</f>
        <v>Beitrag zum Endergebnis</v>
      </c>
      <c r="J3" s="327" t="str">
        <f ca="1">Tags!B59</f>
        <v>Anmerkungen</v>
      </c>
    </row>
    <row r="4" spans="1:10" ht="25" x14ac:dyDescent="0.35">
      <c r="A4" s="99" t="s">
        <v>55</v>
      </c>
      <c r="B4" s="233" t="s">
        <v>55</v>
      </c>
      <c r="C4" s="99"/>
      <c r="D4" s="100" t="str">
        <f ca="1">VLOOKUP(B4,Questions!$D$4:$F$418,3,FALSE)</f>
        <v>Bodenbelag der Rampen (rutschhemmend = 1; Glatt = 0; keine Rampe = 1)</v>
      </c>
      <c r="E4" s="63"/>
      <c r="F4" s="12">
        <v>1</v>
      </c>
      <c r="G4" s="586" t="str">
        <f>IF(COUNTIF(Q_5_1_Antislip,E4)&gt;0,1,(IF(COUNTIF(Q_5_1_Smooth,E4)&gt;0,0,(IF(COUNTIF(Q_5_1_NoRamps,E4)&gt;0,1,"NA")))))</f>
        <v>NA</v>
      </c>
      <c r="H4" s="34">
        <f>F4/$I$15*$I$17</f>
        <v>0.5714285714285714</v>
      </c>
      <c r="I4" s="34">
        <f>IF(ISNUMBER(G4),G4/$I$15*$I$17,0)</f>
        <v>0</v>
      </c>
      <c r="J4" s="102"/>
    </row>
    <row r="5" spans="1:10" ht="25" x14ac:dyDescent="0.35">
      <c r="A5" s="99" t="s">
        <v>56</v>
      </c>
      <c r="B5" s="233" t="s">
        <v>56</v>
      </c>
      <c r="C5" s="99"/>
      <c r="D5" s="100" t="str">
        <f ca="1">VLOOKUP(B5,Questions!$D$4:$F$418,3,FALSE)</f>
        <v>Gefälle der Verbindungsrampen (keine Parkrampen)
•  &lt; 10 % = 3; 10 - 15 % = 1; &gt; 15 % = 0; keine Rampe = 3</v>
      </c>
      <c r="E5" s="63"/>
      <c r="F5" s="12">
        <v>3</v>
      </c>
      <c r="G5" s="586" t="str">
        <f>IF(COUNTIF(Q_5_2_less10,E5)&gt;0,3,(IF(COUNTIF(Q_5_2_10_to_15,E5)&gt;0,1,(IF(COUNTIF(Q_5_2_More_than_15,E5)&gt;0,0,(IF(COUNTIF(Q_5_2_No_Ramps,E5)&gt;0,3,"NA")))))))</f>
        <v>NA</v>
      </c>
      <c r="H5" s="34">
        <f>F5/$I$15*$I$17</f>
        <v>1.7142857142857142</v>
      </c>
      <c r="I5" s="34">
        <f>IF(ISNUMBER(G5),G5/$I$15*$I$17,0)</f>
        <v>0</v>
      </c>
      <c r="J5" s="102"/>
    </row>
    <row r="6" spans="1:10" ht="14.5" x14ac:dyDescent="0.35">
      <c r="A6" s="791" t="s">
        <v>57</v>
      </c>
      <c r="B6" s="233" t="s">
        <v>2643</v>
      </c>
      <c r="C6" s="217"/>
      <c r="D6" s="800" t="str">
        <f ca="1">VLOOKUP(B6,Questions!$D$4:$F$418,3,FALSE)</f>
        <v>Rampenbreite (zwischen Schrammborden) gemessen am engsten Punkt</v>
      </c>
      <c r="E6" s="801"/>
      <c r="F6" s="794">
        <v>3</v>
      </c>
      <c r="G6" s="797" t="str">
        <f>IF(TRIM(E8)="", "NA", IF(TRIM(E8)="Less than 3m", 0, IF(TRIM(E8)="3m - 3.3m", 1, IF(TRIM(E8)="More than 3.3 m", 2, IF(TRIM(E8)="no ramps", 3, "NA")))))</f>
        <v>NA</v>
      </c>
      <c r="H6" s="785">
        <f>F6/$I$15*$I$17</f>
        <v>1.7142857142857142</v>
      </c>
      <c r="I6" s="785">
        <f>IF(ISNUMBER(G6),G6/$I$15*$I$17,0)</f>
        <v>0</v>
      </c>
      <c r="J6" s="788"/>
    </row>
    <row r="7" spans="1:10" ht="25" x14ac:dyDescent="0.35">
      <c r="A7" s="792"/>
      <c r="B7" s="233" t="s">
        <v>2644</v>
      </c>
      <c r="C7" s="218"/>
      <c r="D7" s="101" t="str">
        <f ca="1">VLOOKUP(B7,Questions!$D$4:$F$418,3,FALSE)</f>
        <v>Geschwungene Rampen müssen 1 m breiter sein für dieselbe Punkteanzahl. Gibt es Schrammborde?</v>
      </c>
      <c r="E7" s="65"/>
      <c r="F7" s="795"/>
      <c r="G7" s="798"/>
      <c r="H7" s="786"/>
      <c r="I7" s="786"/>
      <c r="J7" s="789"/>
    </row>
    <row r="8" spans="1:10" ht="14.5" x14ac:dyDescent="0.35">
      <c r="A8" s="793"/>
      <c r="B8" s="233" t="s">
        <v>2645</v>
      </c>
      <c r="C8" s="259"/>
      <c r="D8" s="103" t="str">
        <f ca="1">IF(rampsCurved=yes,VLOOKUP(Questions!$D$102,Questions!$D$4:$F$418,3,FALSE),VLOOKUP(B8,Questions!$D$4:$F$418,3,FALSE))</f>
        <v>Bitte Breite auswählen. &lt; 3,00 m = 0; 3,00 - 3,30 m = 1; &gt; 3,30 m = 3; keine Rampe = 3</v>
      </c>
      <c r="E8" s="66"/>
      <c r="F8" s="796"/>
      <c r="G8" s="799"/>
      <c r="H8" s="787"/>
      <c r="I8" s="787"/>
      <c r="J8" s="790"/>
    </row>
    <row r="9" spans="1:10" ht="37.5" x14ac:dyDescent="0.35">
      <c r="A9" s="99" t="s">
        <v>58</v>
      </c>
      <c r="B9" s="233" t="s">
        <v>58</v>
      </c>
      <c r="C9" s="99"/>
      <c r="D9" s="100" t="str">
        <f ca="1">VLOOKUP(B9,Questions!$D$4:$F$418,3,FALSE)</f>
        <v>Radius der Rampe (Außenradius) bei geschwungenen Rampen
• &lt; 9,00 m = 0; 9,00 - 10,00 m = 1; &gt; 10,00 m = 2; keine Rampe = 2
Bei Rampen mit Gegenverkehr gilt die innere Fahrspur</v>
      </c>
      <c r="E9" s="63"/>
      <c r="F9" s="12">
        <v>2</v>
      </c>
      <c r="G9" s="586" t="str">
        <f>IF(COUNTIF(Q_5_4_less_than_9m,E9)&gt;0,0,(IF(COUNTIF(Q_5_4_9_to_10,E9)&gt;0,1,(IF(COUNTIF(Q_5_4_more_than_10,E9)&gt;0,2,(IF(COUNTIF(Q_5_4_No_Ramps,E9)&gt;0,2,"NA")))))))</f>
        <v>NA</v>
      </c>
      <c r="H9" s="34">
        <f>F9/$I$15*$I$17</f>
        <v>1.1428571428571428</v>
      </c>
      <c r="I9" s="34">
        <f>IF(ISNUMBER(G9),G9/$I$15*$I$17,0)</f>
        <v>0</v>
      </c>
      <c r="J9" s="102"/>
    </row>
    <row r="10" spans="1:10" ht="25" x14ac:dyDescent="0.35">
      <c r="A10" s="99" t="s">
        <v>90</v>
      </c>
      <c r="B10" s="233" t="s">
        <v>90</v>
      </c>
      <c r="C10" s="99"/>
      <c r="D10" s="100" t="str">
        <f ca="1">VLOOKUP(B10,Questions!$D$4:$F$418,3,FALSE)</f>
        <v>Eingangskurve zu geraden Rampen
•  &lt; 7,50 m = 0; 7,50 – 9,00 m = 1; &gt; 9,00 m = 2; keine Rampe = 2</v>
      </c>
      <c r="E10" s="63"/>
      <c r="F10" s="12">
        <v>2</v>
      </c>
      <c r="G10" s="586" t="str">
        <f>IF(COUNTIF(Q_5_5_less_75,E10)&gt;0,0,(IF(COUNTIF(Q_5_5_75_to_9,E10)&gt;0,1,(IF(COUNTIF(Q_5_5_more_then_9,E10)&gt;0,2,(IF(COUNTIF(Q_5_5_No_Ramps,E10)&gt;0,2,"NA")))))))</f>
        <v>NA</v>
      </c>
      <c r="H10" s="34">
        <f>F10/$I$15*$I$17</f>
        <v>1.1428571428571428</v>
      </c>
      <c r="I10" s="34">
        <f>IF(ISNUMBER(G10),G10/$I$15*$I$17,0)</f>
        <v>0</v>
      </c>
      <c r="J10" s="102"/>
    </row>
    <row r="11" spans="1:10" ht="25" x14ac:dyDescent="0.35">
      <c r="A11" s="99" t="s">
        <v>91</v>
      </c>
      <c r="B11" s="233" t="s">
        <v>91</v>
      </c>
      <c r="C11" s="99"/>
      <c r="D11" s="100" t="str">
        <f ca="1">VLOOKUP(B11,Questions!$D$4:$F$418,3,FALSE)</f>
        <v>Parkebene mit Gefälle (Längsneigung)
•  &lt; 5% = 3; 5% - 7% = 1; &gt; 7% = 0; kein Gefälle = 3</v>
      </c>
      <c r="E11" s="63"/>
      <c r="F11" s="12">
        <v>3</v>
      </c>
      <c r="G11" s="586" t="str">
        <f>IF(COUNTIF(Q_5_6_Less_than_5,E11)&gt;0,3,(IF(COUNTIF(Q_5_6_5_to_7,E11)&gt;0,1,(IF(COUNTIF(Q_5_6_more_than_7,E11)&gt;0,0,(IF(COUNTIF(Q_5_6_No_Gradient,E11)&gt;0,3,"NA")))))))</f>
        <v>NA</v>
      </c>
      <c r="H11" s="34">
        <f>F11/$I$15*$I$17</f>
        <v>1.7142857142857142</v>
      </c>
      <c r="I11" s="34">
        <f>IF(ISNUMBER(G11),G11/$I$15*$I$17,0)</f>
        <v>0</v>
      </c>
      <c r="J11" s="102"/>
    </row>
    <row r="12" spans="1:10" ht="14.5" x14ac:dyDescent="0.35">
      <c r="A12" s="3"/>
      <c r="B12" s="3"/>
      <c r="C12" s="3"/>
      <c r="D12" s="85" t="str">
        <f ca="1">CONCATENATE(Tags!$B$50," ",$D$1)</f>
        <v>Zwischensummen Auf-/Abfahrtsrampen</v>
      </c>
      <c r="E12" s="2"/>
      <c r="F12" s="1">
        <f>SUM(F4:F11)</f>
        <v>14</v>
      </c>
      <c r="G12" s="7">
        <f>SUM(G4:G11)</f>
        <v>0</v>
      </c>
      <c r="H12" s="7">
        <f>SUM(H4:H11)</f>
        <v>7.9999999999999991</v>
      </c>
      <c r="I12" s="35">
        <f>SUM(I4:I11)</f>
        <v>0</v>
      </c>
      <c r="J12" s="89"/>
    </row>
    <row r="13" spans="1:10" x14ac:dyDescent="0.35"/>
    <row r="14" spans="1:10" ht="13" customHeight="1" x14ac:dyDescent="0.35">
      <c r="D14" s="145" t="str">
        <f ca="1">Tags!B30</f>
        <v>Summe der Positionen</v>
      </c>
      <c r="E14" s="77">
        <v>6</v>
      </c>
      <c r="G14" s="145" t="str">
        <f ca="1">Tags!B34</f>
        <v>Punktzahl</v>
      </c>
      <c r="I14" s="79">
        <f>G12</f>
        <v>0</v>
      </c>
      <c r="J14" s="715" t="str">
        <f ca="1">'Detailed Results'!M10</f>
        <v>unvollständig</v>
      </c>
    </row>
    <row r="15" spans="1:10" ht="13" customHeight="1" x14ac:dyDescent="0.35">
      <c r="D15" s="145" t="str">
        <f ca="1">Tags!B31</f>
        <v>Summe der Positionen und Unterpositionen</v>
      </c>
      <c r="E15" s="77">
        <v>7</v>
      </c>
      <c r="G15" s="145" t="str">
        <f ca="1">Tags!B35</f>
        <v>Maximale Punktzahl</v>
      </c>
      <c r="I15" s="79">
        <f>F12</f>
        <v>14</v>
      </c>
      <c r="J15" s="716"/>
    </row>
    <row r="16" spans="1:10" ht="13" customHeight="1" x14ac:dyDescent="0.35">
      <c r="D16" s="145" t="str">
        <f ca="1">Tags!B32</f>
        <v>vollständige Positionen</v>
      </c>
      <c r="E16" s="79">
        <f>COUNTA(E7:E11,E4:E5)</f>
        <v>0</v>
      </c>
      <c r="G16" s="145" t="str">
        <f ca="1">Tags!B36</f>
        <v>Prozentsatz</v>
      </c>
      <c r="I16" s="80">
        <f>I14/I15</f>
        <v>0</v>
      </c>
      <c r="J16" s="716"/>
    </row>
    <row r="17" spans="1:10" ht="13" customHeight="1" x14ac:dyDescent="0.35">
      <c r="D17" s="145" t="str">
        <f ca="1">Tags!B33</f>
        <v>nicht gemessen</v>
      </c>
      <c r="E17" s="79">
        <f>+E15-E16</f>
        <v>7</v>
      </c>
      <c r="G17" s="145" t="str">
        <f ca="1">Tags!B37</f>
        <v>Wert der Kategorie</v>
      </c>
      <c r="I17" s="79">
        <f>VLOOKUP(A1,'Detailed Results'!$A$7:$M$15,11)</f>
        <v>8</v>
      </c>
      <c r="J17" s="717"/>
    </row>
    <row r="18" spans="1:10" x14ac:dyDescent="0.35"/>
    <row r="19" spans="1:10" ht="15.5" x14ac:dyDescent="0.35">
      <c r="A19" s="107" t="str">
        <f ca="1">Tags!B60</f>
        <v>Anmerkungen</v>
      </c>
      <c r="B19" s="107"/>
      <c r="C19" s="107"/>
    </row>
    <row r="20" spans="1:10" x14ac:dyDescent="0.35"/>
    <row r="21" spans="1:10" x14ac:dyDescent="0.35"/>
    <row r="22" spans="1:10" x14ac:dyDescent="0.35"/>
    <row r="23" spans="1:10" x14ac:dyDescent="0.35"/>
    <row r="24" spans="1:10" x14ac:dyDescent="0.35"/>
    <row r="25" spans="1:10" x14ac:dyDescent="0.35"/>
    <row r="26" spans="1:10" x14ac:dyDescent="0.35"/>
    <row r="27" spans="1:10" x14ac:dyDescent="0.35"/>
    <row r="28" spans="1:10" x14ac:dyDescent="0.35"/>
    <row r="29" spans="1:10" x14ac:dyDescent="0.35"/>
    <row r="30" spans="1:10" x14ac:dyDescent="0.35"/>
    <row r="31" spans="1:10" x14ac:dyDescent="0.35"/>
    <row r="32" spans="1:10" x14ac:dyDescent="0.35"/>
    <row r="33" spans="1:9" x14ac:dyDescent="0.35"/>
    <row r="34" spans="1:9" x14ac:dyDescent="0.35"/>
    <row r="35" spans="1:9" x14ac:dyDescent="0.35"/>
    <row r="36" spans="1:9" x14ac:dyDescent="0.35"/>
    <row r="37" spans="1:9" x14ac:dyDescent="0.35"/>
    <row r="40" spans="1:9" hidden="1" x14ac:dyDescent="0.35">
      <c r="A40" s="13" t="s">
        <v>525</v>
      </c>
    </row>
    <row r="42" spans="1:9" ht="14.5" hidden="1" x14ac:dyDescent="0.35">
      <c r="A42" s="4" t="str">
        <f>IF($E$7=no,Answers!B88,Answers!B93)</f>
        <v>weniger als 4 m</v>
      </c>
      <c r="B42" s="4"/>
      <c r="C42" s="4"/>
      <c r="G42" s="4"/>
      <c r="I42" s="4"/>
    </row>
    <row r="43" spans="1:9" ht="14.5" hidden="1" x14ac:dyDescent="0.35">
      <c r="A43" s="4" t="str">
        <f>IF($E$7=no,Answers!B89,Answers!B94)</f>
        <v>4m - 4.3m</v>
      </c>
      <c r="B43" s="4"/>
      <c r="C43" s="4"/>
      <c r="G43" s="4"/>
      <c r="I43" s="4"/>
    </row>
    <row r="44" spans="1:9" ht="14.5" hidden="1" x14ac:dyDescent="0.35">
      <c r="A44" s="4" t="str">
        <f>IF($E$7=no,Answers!B90,Answers!B95)</f>
        <v>mehr als 3.3 m</v>
      </c>
      <c r="B44" s="4"/>
      <c r="C44" s="4"/>
      <c r="G44" s="4"/>
      <c r="I44" s="4"/>
    </row>
    <row r="45" spans="1:9" ht="14.5" hidden="1" x14ac:dyDescent="0.35">
      <c r="A45" s="4" t="str">
        <f>IF($E$7=no,Answers!B91,Answers!B96)</f>
        <v>Keine Rampen</v>
      </c>
      <c r="B45" s="4"/>
      <c r="C45" s="4"/>
      <c r="G45" s="4"/>
      <c r="I45" s="4"/>
    </row>
    <row r="46" spans="1:9" x14ac:dyDescent="0.35"/>
    <row r="47" spans="1:9" x14ac:dyDescent="0.35"/>
    <row r="48" spans="1:9" x14ac:dyDescent="0.35"/>
    <row r="49" x14ac:dyDescent="0.35"/>
    <row r="50" x14ac:dyDescent="0.35"/>
    <row r="51" x14ac:dyDescent="0.35"/>
    <row r="52" x14ac:dyDescent="0.35"/>
    <row r="53" x14ac:dyDescent="0.35"/>
    <row r="54" x14ac:dyDescent="0.35"/>
    <row r="55" x14ac:dyDescent="0.35"/>
  </sheetData>
  <sheetProtection algorithmName="SHA-512" hashValue="4ONza4h8KbAmRbZtIwik4MPhDpIJhwPLAIVP510FeXt5Q87k9tu8qZbW7xcqNZ4hNJlXQo9LeZNcWnoO+rqvzA==" saltValue="NWkR6BStR8Xn2/esRveqyw==" spinCount="100000" sheet="1" formatRows="0" selectLockedCells="1"/>
  <mergeCells count="8">
    <mergeCell ref="J14:J17"/>
    <mergeCell ref="I6:I8"/>
    <mergeCell ref="J6:J8"/>
    <mergeCell ref="A6:A8"/>
    <mergeCell ref="F6:F8"/>
    <mergeCell ref="G6:G8"/>
    <mergeCell ref="H6:H8"/>
    <mergeCell ref="D6:E6"/>
  </mergeCells>
  <phoneticPr fontId="24" type="noConversion"/>
  <conditionalFormatting sqref="E4:E5 E7:E11">
    <cfRule type="expression" dxfId="44" priority="21">
      <formula>(#REF!=yes)</formula>
    </cfRule>
  </conditionalFormatting>
  <conditionalFormatting sqref="J14:J17">
    <cfRule type="expression" dxfId="42" priority="1">
      <formula>#REF!="Fail"</formula>
    </cfRule>
    <cfRule type="expression" dxfId="41" priority="2">
      <formula>(#REF!="Pass")</formula>
    </cfRule>
  </conditionalFormatting>
  <dataValidations count="1">
    <dataValidation type="list" allowBlank="1" showInputMessage="1" showErrorMessage="1" sqref="E7" xr:uid="{00000000-0002-0000-0700-000000000000}">
      <formula1>YesNo</formula1>
    </dataValidation>
  </dataValidations>
  <printOptions horizontalCentered="1"/>
  <pageMargins left="0.71" right="0.71" top="0.75000000000000011" bottom="0.75000000000000011" header="0.31" footer="0.31"/>
  <pageSetup paperSize="9" scale="46" orientation="portrait" horizontalDpi="300" verticalDpi="300"/>
  <headerFooter>
    <oddHeader>&amp;L&amp;"Calibri,Bold"&amp;K000000EPA - Checklist for the European Standard Parking Award</oddHeader>
    <oddFooter>&amp;L&amp;K000000[File]&amp;A</oddFooter>
  </headerFooter>
  <ignoredErrors>
    <ignoredError sqref="D8" 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8" id="{B1CD8E57-616F-F440-8AE0-F0B3B21F07B0}">
            <xm:f>$F$1=Tags!$B$21</xm:f>
            <x14:dxf>
              <font>
                <color rgb="FF9C0006"/>
              </font>
            </x14:dxf>
          </x14:cfRule>
          <xm:sqref>F1:G1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2000000}">
          <x14:formula1>
            <xm:f>Answers!$B$273:$B$276</xm:f>
          </x14:formula1>
          <xm:sqref>E8</xm:sqref>
        </x14:dataValidation>
        <x14:dataValidation type="list" allowBlank="1" showInputMessage="1" showErrorMessage="1" xr:uid="{00000000-0002-0000-0700-000004000000}">
          <x14:formula1>
            <xm:f>Answers!$B$108:$B$111</xm:f>
          </x14:formula1>
          <xm:sqref>E11</xm:sqref>
        </x14:dataValidation>
        <x14:dataValidation type="list" allowBlank="1" showInputMessage="1" showErrorMessage="1" xr:uid="{00000000-0002-0000-0700-000005000000}">
          <x14:formula1>
            <xm:f>Answers!$B$79:$B$81</xm:f>
          </x14:formula1>
          <xm:sqref>E4</xm:sqref>
        </x14:dataValidation>
        <x14:dataValidation type="list" allowBlank="1" showInputMessage="1" showErrorMessage="1" xr:uid="{00000000-0002-0000-0700-000006000000}">
          <x14:formula1>
            <xm:f>Answers!$B$98:$B$101</xm:f>
          </x14:formula1>
          <xm:sqref>E9</xm:sqref>
        </x14:dataValidation>
        <x14:dataValidation type="list" allowBlank="1" showInputMessage="1" showErrorMessage="1" xr:uid="{00000000-0002-0000-0700-000007000000}">
          <x14:formula1>
            <xm:f>Answers!$B$103:$B$106</xm:f>
          </x14:formula1>
          <xm:sqref>E10</xm:sqref>
        </x14:dataValidation>
        <x14:dataValidation type="list" allowBlank="1" showInputMessage="1" showErrorMessage="1" xr:uid="{00000000-0002-0000-0700-000003000000}">
          <x14:formula1>
            <xm:f>Answers!$B$83:$B$86</xm:f>
          </x14:formula1>
          <xm:sqref>E5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26</vt:i4>
      </vt:variant>
      <vt:variant>
        <vt:lpstr>Plages nommées</vt:lpstr>
      </vt:variant>
      <vt:variant>
        <vt:i4>233</vt:i4>
      </vt:variant>
    </vt:vector>
  </HeadingPairs>
  <TitlesOfParts>
    <vt:vector size="259" baseType="lpstr">
      <vt:lpstr>General Info</vt:lpstr>
      <vt:lpstr>Evaluation Sheet</vt:lpstr>
      <vt:lpstr>Detailed Results</vt:lpstr>
      <vt:lpstr>1. Mandatory Conditions</vt:lpstr>
      <vt:lpstr>2. Lighting</vt:lpstr>
      <vt:lpstr>3. Entry Exit</vt:lpstr>
      <vt:lpstr>4. Parking Area</vt:lpstr>
      <vt:lpstr>5. Ramps</vt:lpstr>
      <vt:lpstr>6. Pedestrian Access</vt:lpstr>
      <vt:lpstr>7. Security equipment</vt:lpstr>
      <vt:lpstr>8. Wayfinding</vt:lpstr>
      <vt:lpstr>9. Comfort</vt:lpstr>
      <vt:lpstr>10. Energy Environment</vt:lpstr>
      <vt:lpstr>Minus</vt:lpstr>
      <vt:lpstr>Bonus</vt:lpstr>
      <vt:lpstr>Mandatory Conditions Gold Award</vt:lpstr>
      <vt:lpstr>Questions</vt:lpstr>
      <vt:lpstr>Languages Old</vt:lpstr>
      <vt:lpstr>Answers</vt:lpstr>
      <vt:lpstr>Tags</vt:lpstr>
      <vt:lpstr>Help</vt:lpstr>
      <vt:lpstr>Languages Available</vt:lpstr>
      <vt:lpstr>Aux</vt:lpstr>
      <vt:lpstr>Translation Page</vt:lpstr>
      <vt:lpstr>Translation Sheet</vt:lpstr>
      <vt:lpstr>Unplugged Translation Sheet</vt:lpstr>
      <vt:lpstr>_3.3m</vt:lpstr>
      <vt:lpstr>changeLangMessage</vt:lpstr>
      <vt:lpstr>'Evaluation Sheet'!completionStatus</vt:lpstr>
      <vt:lpstr>completionStatus</vt:lpstr>
      <vt:lpstr>emvc</vt:lpstr>
      <vt:lpstr>essl</vt:lpstr>
      <vt:lpstr>fail</vt:lpstr>
      <vt:lpstr>floors</vt:lpstr>
      <vt:lpstr>incomplete</vt:lpstr>
      <vt:lpstr>Questions!Language_Table</vt:lpstr>
      <vt:lpstr>Language_Table</vt:lpstr>
      <vt:lpstr>LanguageRange</vt:lpstr>
      <vt:lpstr>no</vt:lpstr>
      <vt:lpstr>O_4_3</vt:lpstr>
      <vt:lpstr>OKFail</vt:lpstr>
      <vt:lpstr>opt_angle</vt:lpstr>
      <vt:lpstr>optiob_no_kerbs</vt:lpstr>
      <vt:lpstr>option_No_protection_kerbs</vt:lpstr>
      <vt:lpstr>option_yes_Kerbs</vt:lpstr>
      <vt:lpstr>option4_8</vt:lpstr>
      <vt:lpstr>p3_3</vt:lpstr>
      <vt:lpstr>pass</vt:lpstr>
      <vt:lpstr>Q__4_All_Access_Hours</vt:lpstr>
      <vt:lpstr>Q_10_4_Irrelevant</vt:lpstr>
      <vt:lpstr>Q_10_4_No</vt:lpstr>
      <vt:lpstr>Q_10_4_Yes</vt:lpstr>
      <vt:lpstr>Q_10_8_1_2_to_5</vt:lpstr>
      <vt:lpstr>Q_10_8_1_5_to_10</vt:lpstr>
      <vt:lpstr>Q_10_8_1_less_2</vt:lpstr>
      <vt:lpstr>Q_10_8_1_more_10</vt:lpstr>
      <vt:lpstr>Q_10_8_1_none</vt:lpstr>
      <vt:lpstr>Q_10_8_2_10_to_20</vt:lpstr>
      <vt:lpstr>Q_10_8_2_4_to_20</vt:lpstr>
      <vt:lpstr>Q_10_8_2_less_4</vt:lpstr>
      <vt:lpstr>Q_10_8_2_more_20</vt:lpstr>
      <vt:lpstr>Q_10_8_2_more_50</vt:lpstr>
      <vt:lpstr>Q_10_8_3_100_to_200</vt:lpstr>
      <vt:lpstr>Q_10_8_3_50_to_100</vt:lpstr>
      <vt:lpstr>Q_10_8_3_less_50</vt:lpstr>
      <vt:lpstr>Q_10_8_3_more_200</vt:lpstr>
      <vt:lpstr>Q_10_9_1_1_to_5</vt:lpstr>
      <vt:lpstr>Q_10_9_1_5_to_10</vt:lpstr>
      <vt:lpstr>Q_10_9_1_more_10</vt:lpstr>
      <vt:lpstr>Q_10_9_1_none</vt:lpstr>
      <vt:lpstr>Q_10_9_3_1_to_10</vt:lpstr>
      <vt:lpstr>Q_10_9_3_more_10</vt:lpstr>
      <vt:lpstr>Q_10_9_3_none</vt:lpstr>
      <vt:lpstr>Q_3_11_3_to_3_30</vt:lpstr>
      <vt:lpstr>Q_3_11_above_3_30</vt:lpstr>
      <vt:lpstr>Q_3_11_less_than_3</vt:lpstr>
      <vt:lpstr>Q_3_3_Alt_less_then_4</vt:lpstr>
      <vt:lpstr>Q_3_3_Alt_more_then_4</vt:lpstr>
      <vt:lpstr>Q_3_3_Clear_Signing</vt:lpstr>
      <vt:lpstr>Q_3_3_Incomplete_Signing</vt:lpstr>
      <vt:lpstr>Q_3_3_No_Signing</vt:lpstr>
      <vt:lpstr>Q_3_6_0_to_2</vt:lpstr>
      <vt:lpstr>Q_3_6_2_to_5</vt:lpstr>
      <vt:lpstr>Q_3_6_above_5</vt:lpstr>
      <vt:lpstr>Q_3_7_no_kerbs</vt:lpstr>
      <vt:lpstr>Q_3_7_no_protection</vt:lpstr>
      <vt:lpstr>Q_3_7_Yes</vt:lpstr>
      <vt:lpstr>Q_3_8_Anti_Slip</vt:lpstr>
      <vt:lpstr>Q_3_8_slippery_when_wet</vt:lpstr>
      <vt:lpstr>Q_4_1</vt:lpstr>
      <vt:lpstr>Q_4_1_Pillar_at_Back_of_Stall</vt:lpstr>
      <vt:lpstr>Q_4_1_Pillar_Beginning_Stall</vt:lpstr>
      <vt:lpstr>Q_4_1_Pillar_Does_Not_Intrude</vt:lpstr>
      <vt:lpstr>Q_4_1_Pillar_next_car_door</vt:lpstr>
      <vt:lpstr>Q_4_10_Compliant_with_Table</vt:lpstr>
      <vt:lpstr>Q_4_10_more_60</vt:lpstr>
      <vt:lpstr>Q_4_10_up_30_less</vt:lpstr>
      <vt:lpstr>Q_4_10_up_60_less</vt:lpstr>
      <vt:lpstr>Q_4_2</vt:lpstr>
      <vt:lpstr>Q_4_2_Basic_Quality</vt:lpstr>
      <vt:lpstr>Q_4_2_Good_Quality</vt:lpstr>
      <vt:lpstr>Q_4_2_No_Pillars</vt:lpstr>
      <vt:lpstr>Q_4_2_None</vt:lpstr>
      <vt:lpstr>Q_4_3_Bad</vt:lpstr>
      <vt:lpstr>Q_4_3_Good</vt:lpstr>
      <vt:lpstr>Q_4_3_Medium</vt:lpstr>
      <vt:lpstr>Q_4_8</vt:lpstr>
      <vt:lpstr>Q_4_8_45_75</vt:lpstr>
      <vt:lpstr>Q_4_8_75_90</vt:lpstr>
      <vt:lpstr>Q_5_1_Antislip</vt:lpstr>
      <vt:lpstr>Q_5_1_NoRamps</vt:lpstr>
      <vt:lpstr>Q_5_1_Smooth</vt:lpstr>
      <vt:lpstr>Q_5_2_10_to_15</vt:lpstr>
      <vt:lpstr>Q_5_2_less10</vt:lpstr>
      <vt:lpstr>Q_5_2_More_than_15</vt:lpstr>
      <vt:lpstr>Q_5_2_No_Ramps</vt:lpstr>
      <vt:lpstr>Q_5_3_3_to_330</vt:lpstr>
      <vt:lpstr>Q_5_3_Alt_4_to_43</vt:lpstr>
      <vt:lpstr>Q_5_3_Alt_more_then_43</vt:lpstr>
      <vt:lpstr>Q_5_3_Less_than_3</vt:lpstr>
      <vt:lpstr>Q_5_3_more_than_33</vt:lpstr>
      <vt:lpstr>Q_5_3_noramps</vt:lpstr>
      <vt:lpstr>Q_5_4_9_to_10</vt:lpstr>
      <vt:lpstr>Q_5_4_less_than_9m</vt:lpstr>
      <vt:lpstr>Q_5_4_more_than_10</vt:lpstr>
      <vt:lpstr>Q_5_4_No_Ramps</vt:lpstr>
      <vt:lpstr>Q_5_5_75_to_9</vt:lpstr>
      <vt:lpstr>Q_5_5_less_75</vt:lpstr>
      <vt:lpstr>Q_5_5_more_then_9</vt:lpstr>
      <vt:lpstr>Q_5_5_No_Ramps</vt:lpstr>
      <vt:lpstr>Q_5_6_5_to_7</vt:lpstr>
      <vt:lpstr>Q_5_6_Less_than_5</vt:lpstr>
      <vt:lpstr>Q_5_6_more_than_7</vt:lpstr>
      <vt:lpstr>Q_5_6_No_Gradient</vt:lpstr>
      <vt:lpstr>Q_6_1_2_to_210</vt:lpstr>
      <vt:lpstr>Q_6_1_210_to_220</vt:lpstr>
      <vt:lpstr>Q_6_1_Less_Than_2</vt:lpstr>
      <vt:lpstr>Q_6_1_more_than_220</vt:lpstr>
      <vt:lpstr>Q_6_10_1_lee_than_90</vt:lpstr>
      <vt:lpstr>Q_6_10_1_more_then_90</vt:lpstr>
      <vt:lpstr>Q_6_10_3_Glazed</vt:lpstr>
      <vt:lpstr>Q_6_10_3_No_Glass</vt:lpstr>
      <vt:lpstr>Q_6_12_1_less</vt:lpstr>
      <vt:lpstr>Q_6_12_1_more</vt:lpstr>
      <vt:lpstr>Q_6_12_2_No_handrail</vt:lpstr>
      <vt:lpstr>Q_6_12_2_One_Side</vt:lpstr>
      <vt:lpstr>Q_6_12_2_two_sides</vt:lpstr>
      <vt:lpstr>Q_6_13_None</vt:lpstr>
      <vt:lpstr>Q_6_13_Window_Grill</vt:lpstr>
      <vt:lpstr>Q_6_3_Easy_to_Open</vt:lpstr>
      <vt:lpstr>Q_6_3_No</vt:lpstr>
      <vt:lpstr>Q_6_3_Yes_Automatic</vt:lpstr>
      <vt:lpstr>Q_6_5_More_Elevators</vt:lpstr>
      <vt:lpstr>Q_6_5_One_Elevator</vt:lpstr>
      <vt:lpstr>Q_6_6_4_to_8</vt:lpstr>
      <vt:lpstr>Q_6_6_Less_Then_4</vt:lpstr>
      <vt:lpstr>Q_6_6_More_Then_8</vt:lpstr>
      <vt:lpstr>Q_6_7_Glazed_Doors</vt:lpstr>
      <vt:lpstr>Q_6_7_No_Elevator</vt:lpstr>
      <vt:lpstr>Q_6_7_No_Visibility</vt:lpstr>
      <vt:lpstr>Q_7_4_24_7</vt:lpstr>
      <vt:lpstr>Q_7_4_All_Access_Hours</vt:lpstr>
      <vt:lpstr>Q_7_4_PartTime</vt:lpstr>
      <vt:lpstr>Q_7_5_24_7</vt:lpstr>
      <vt:lpstr>Q_7_5_Access_Times</vt:lpstr>
      <vt:lpstr>Q_7_5_Less_Then</vt:lpstr>
      <vt:lpstr>Q_7_5_No</vt:lpstr>
      <vt:lpstr>Q_7_6_Closed</vt:lpstr>
      <vt:lpstr>Q_7_6_No_Provisions</vt:lpstr>
      <vt:lpstr>Q_7_6_Secured</vt:lpstr>
      <vt:lpstr>Q_7_6_Slow_Opening</vt:lpstr>
      <vt:lpstr>Q_7_7_Irrelevant</vt:lpstr>
      <vt:lpstr>Q_7_7_Less_then_15</vt:lpstr>
      <vt:lpstr>Q_7_7_more_than_15</vt:lpstr>
      <vt:lpstr>Q_7_7_No_Provisions</vt:lpstr>
      <vt:lpstr>Q_7_8_Irrelevant</vt:lpstr>
      <vt:lpstr>Q_7_8_Less_than_15</vt:lpstr>
      <vt:lpstr>Q_7_8_More_than_15</vt:lpstr>
      <vt:lpstr>Q_8_1_Parking_Floor</vt:lpstr>
      <vt:lpstr>Q_8_1_Parking_Floor_Bad</vt:lpstr>
      <vt:lpstr>Q_8_10_Every</vt:lpstr>
      <vt:lpstr>Q_8_10_No</vt:lpstr>
      <vt:lpstr>Q_8_10_One</vt:lpstr>
      <vt:lpstr>Q_8_2_Adequate</vt:lpstr>
      <vt:lpstr>Q_8_2_Good</vt:lpstr>
      <vt:lpstr>Q_8_2_No</vt:lpstr>
      <vt:lpstr>Q_8_2_Poor</vt:lpstr>
      <vt:lpstr>Q_8_3_all</vt:lpstr>
      <vt:lpstr>Q_8_3_most</vt:lpstr>
      <vt:lpstr>Q_8_3_no</vt:lpstr>
      <vt:lpstr>Q_8_3_some</vt:lpstr>
      <vt:lpstr>Q_8_4_Adequate</vt:lpstr>
      <vt:lpstr>Q_8_4_good</vt:lpstr>
      <vt:lpstr>Q_8_4_none</vt:lpstr>
      <vt:lpstr>Q_8_4_poor</vt:lpstr>
      <vt:lpstr>Q_8_4_SLCP</vt:lpstr>
      <vt:lpstr>Q_8_5_Good</vt:lpstr>
      <vt:lpstr>Q_8_5_None</vt:lpstr>
      <vt:lpstr>Q_8_5_Some</vt:lpstr>
      <vt:lpstr>Q_8_6_just_numbers</vt:lpstr>
      <vt:lpstr>Q_8_6_nifi</vt:lpstr>
      <vt:lpstr>Q_8_6_none</vt:lpstr>
      <vt:lpstr>Q_8_8_2_Available</vt:lpstr>
      <vt:lpstr>Q_8_8_2_Full_Free</vt:lpstr>
      <vt:lpstr>Q_8_8_2_None</vt:lpstr>
      <vt:lpstr>Q_9_4_ANPR</vt:lpstr>
      <vt:lpstr>Q_9_4_No</vt:lpstr>
      <vt:lpstr>Q_9_4_Yes</vt:lpstr>
      <vt:lpstr>Q_9_5_1_more_than_one</vt:lpstr>
      <vt:lpstr>Q_9_5_1_more_than_one_Each</vt:lpstr>
      <vt:lpstr>Q_9_5_1_One</vt:lpstr>
      <vt:lpstr>Q_9_5_1_One_each</vt:lpstr>
      <vt:lpstr>Q_9_5_2_More_One_Every_50</vt:lpstr>
      <vt:lpstr>Q_9_5_2_One</vt:lpstr>
      <vt:lpstr>Q_9_5_2_One_every_50</vt:lpstr>
      <vt:lpstr>Q_9_6_3_Mafe_Female</vt:lpstr>
      <vt:lpstr>Q_9_6_3_Unisex</vt:lpstr>
      <vt:lpstr>Q_9_7_1_Colored_Pillars</vt:lpstr>
      <vt:lpstr>Q_9_7_1_No_Concrete_Grey</vt:lpstr>
      <vt:lpstr>Q_9_7_2_Colored_Walls</vt:lpstr>
      <vt:lpstr>Q_9_7_2_Concrete_Grey</vt:lpstr>
      <vt:lpstr>Q_B_5_All_Levels</vt:lpstr>
      <vt:lpstr>Q_B_5_None</vt:lpstr>
      <vt:lpstr>Q_B_5_Some_Levels</vt:lpstr>
      <vt:lpstr>Q_B_8_Departure_Times</vt:lpstr>
      <vt:lpstr>Q_B_8_No</vt:lpstr>
      <vt:lpstr>Q_B_8_Yes</vt:lpstr>
      <vt:lpstr>Q_Basic_Quality</vt:lpstr>
      <vt:lpstr>Q_Good_Quality</vt:lpstr>
      <vt:lpstr>Q_None_q</vt:lpstr>
      <vt:lpstr>Question_Irrelevant</vt:lpstr>
      <vt:lpstr>Question_YN_No</vt:lpstr>
      <vt:lpstr>Question_YN_Yes</vt:lpstr>
      <vt:lpstr>rampsCurved</vt:lpstr>
      <vt:lpstr>slcp</vt:lpstr>
      <vt:lpstr>spaces</vt:lpstr>
      <vt:lpstr>Tags</vt:lpstr>
      <vt:lpstr>Tags!timeofday</vt:lpstr>
      <vt:lpstr>timeofday</vt:lpstr>
      <vt:lpstr>Tags!weatherconditions</vt:lpstr>
      <vt:lpstr>weatherconditions</vt:lpstr>
      <vt:lpstr>yes</vt:lpstr>
      <vt:lpstr>YesNo</vt:lpstr>
      <vt:lpstr>'1. Mandatory Conditions'!Zone_d_impression</vt:lpstr>
      <vt:lpstr>'10. Energy Environment'!Zone_d_impression</vt:lpstr>
      <vt:lpstr>'2. Lighting'!Zone_d_impression</vt:lpstr>
      <vt:lpstr>'3. Entry Exit'!Zone_d_impression</vt:lpstr>
      <vt:lpstr>'4. Parking Area'!Zone_d_impression</vt:lpstr>
      <vt:lpstr>'5. Ramps'!Zone_d_impression</vt:lpstr>
      <vt:lpstr>'6. Pedestrian Access'!Zone_d_impression</vt:lpstr>
      <vt:lpstr>'7. Security equipment'!Zone_d_impression</vt:lpstr>
      <vt:lpstr>'8. Wayfinding'!Zone_d_impression</vt:lpstr>
      <vt:lpstr>'9. Comfort'!Zone_d_impression</vt:lpstr>
      <vt:lpstr>Bonus!Zone_d_impression</vt:lpstr>
      <vt:lpstr>'Detailed Results'!Zone_d_impression</vt:lpstr>
      <vt:lpstr>'Evaluation Sheet'!Zone_d_impression</vt:lpstr>
      <vt:lpstr>'General Info'!Zone_d_impression</vt:lpstr>
      <vt:lpstr>'Mandatory Conditions Gold Award'!Zone_d_impression</vt:lpstr>
      <vt:lpstr>Minus!Zone_d_impression</vt:lpstr>
    </vt:vector>
  </TitlesOfParts>
  <Company>EPA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ESPA Checklist</dc:title>
  <dc:creator>João Caetano Dias</dc:creator>
  <cp:lastModifiedBy>Denise Lachat</cp:lastModifiedBy>
  <cp:lastPrinted>2022-07-27T15:14:29Z</cp:lastPrinted>
  <dcterms:created xsi:type="dcterms:W3CDTF">2013-06-14T13:03:40Z</dcterms:created>
  <dcterms:modified xsi:type="dcterms:W3CDTF">2026-01-10T16:30:09Z</dcterms:modified>
</cp:coreProperties>
</file>