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3820"/>
  <mc:AlternateContent xmlns:mc="http://schemas.openxmlformats.org/markup-compatibility/2006">
    <mc:Choice Requires="x15">
      <x15ac:absPath xmlns:x15ac="http://schemas.microsoft.com/office/spreadsheetml/2010/11/ac" url="C:\Users\hschl\Downloads\ParkingSwiss\Awards\"/>
    </mc:Choice>
  </mc:AlternateContent>
  <bookViews>
    <workbookView xWindow="0" yWindow="0" windowWidth="28800" windowHeight="13920" tabRatio="667" firstSheet="1" activeTab="1"/>
  </bookViews>
  <sheets>
    <sheet name="Alert" sheetId="50" state="veryHidden" r:id="rId1"/>
    <sheet name="General Info" sheetId="1" r:id="rId2"/>
    <sheet name="Evaluation" sheetId="19" r:id="rId3"/>
    <sheet name="1. Mandatory Conditions" sheetId="2" r:id="rId4"/>
    <sheet name="2. Lighting" sheetId="3" r:id="rId5"/>
    <sheet name="3. Entry Exit" sheetId="4" r:id="rId6"/>
    <sheet name="4. Parking Area" sheetId="20" r:id="rId7"/>
    <sheet name="5. Ramps" sheetId="30" r:id="rId8"/>
    <sheet name="6. Pedestrian Access" sheetId="21" r:id="rId9"/>
    <sheet name="7. Security equipment" sheetId="23" r:id="rId10"/>
    <sheet name="8. Wayfinding" sheetId="24" r:id="rId11"/>
    <sheet name="9. Comfort" sheetId="25" r:id="rId12"/>
    <sheet name="10. Energy Environment" sheetId="26" r:id="rId13"/>
    <sheet name="Minus" sheetId="27" r:id="rId14"/>
    <sheet name="Bonus" sheetId="28" r:id="rId15"/>
    <sheet name="Gold Award" sheetId="40" r:id="rId16"/>
    <sheet name="Languages" sheetId="31" state="veryHidden" r:id="rId17"/>
    <sheet name="Options" sheetId="33" state="veryHidden" r:id="rId18"/>
    <sheet name="Tags" sheetId="34" state="veryHidden" r:id="rId19"/>
    <sheet name="Help" sheetId="39" state="veryHidden" r:id="rId20"/>
    <sheet name="Languages Available" sheetId="32" state="veryHidden" r:id="rId21"/>
    <sheet name="Aux" sheetId="35" state="veryHidden" r:id="rId22"/>
    <sheet name="Translations" sheetId="51" r:id="rId23"/>
    <sheet name="Languages (2)" sheetId="41" state="veryHidden" r:id="rId24"/>
    <sheet name="Options (2)" sheetId="42" state="veryHidden" r:id="rId25"/>
    <sheet name="Tags (2)" sheetId="43" state="veryHidden" r:id="rId26"/>
    <sheet name="Welcome Sheet" sheetId="47" state="veryHidden" r:id="rId27"/>
    <sheet name="Translation Sheet" sheetId="48" state="veryHidden" r:id="rId28"/>
    <sheet name="Unplugged Translation Sheet" sheetId="49" state="veryHidden" r:id="rId29"/>
  </sheets>
  <definedNames>
    <definedName name="changeLangMessage">Tags!$B$68</definedName>
    <definedName name="completionStatus">Evaluation!$M$1</definedName>
    <definedName name="_xlnm.Print_Area" localSheetId="3">'1. Mandatory Conditions'!$A$1:$F$37</definedName>
    <definedName name="_xlnm.Print_Area" localSheetId="12">'10. Energy Environment'!$A$1:$I$41</definedName>
    <definedName name="_xlnm.Print_Area" localSheetId="4">'2. Lighting'!$A$1:$I$47</definedName>
    <definedName name="_xlnm.Print_Area" localSheetId="5">'3. Entry Exit'!$A$1:$I$57</definedName>
    <definedName name="_xlnm.Print_Area" localSheetId="6">'4. Parking Area'!$A$1:$I$58</definedName>
    <definedName name="_xlnm.Print_Area" localSheetId="7">'5. Ramps'!$A$1:$I$38</definedName>
    <definedName name="_xlnm.Print_Area" localSheetId="8">'6. Pedestrian Access'!$A:$I</definedName>
    <definedName name="_xlnm.Print_Area" localSheetId="9">'7. Security equipment'!$A$1:$I$47</definedName>
    <definedName name="_xlnm.Print_Area" localSheetId="10">'8. Wayfinding'!$A$1:$I$52</definedName>
    <definedName name="_xlnm.Print_Area" localSheetId="11">'9. Comfort'!$A$1:$I$63</definedName>
    <definedName name="_xlnm.Print_Area" localSheetId="14">Bonus!$A$1:$I$47</definedName>
    <definedName name="_xlnm.Print_Area" localSheetId="2">Evaluation!$A:$N</definedName>
    <definedName name="_xlnm.Print_Area" localSheetId="1">'General Info'!$A$1:$F$44</definedName>
    <definedName name="_xlnm.Print_Area" localSheetId="15">'Gold Award'!$A$1:$G$40</definedName>
    <definedName name="_xlnm.Print_Area" localSheetId="13">Minus!$A$1:$I$56</definedName>
    <definedName name="emvc">'6. Pedestrian Access'!$C$11</definedName>
    <definedName name="essl">'6. Pedestrian Access'!$C$10</definedName>
    <definedName name="fail">Tags!$B$28</definedName>
    <definedName name="floors">'General Info'!$D$33</definedName>
    <definedName name="incomplete">Tags!$B$29</definedName>
    <definedName name="Language_Table">Languages!$A$4:$B$9026</definedName>
    <definedName name="LanguageRange">'Languages Available'!$B$3:$B$8</definedName>
    <definedName name="no">Options!$B$24</definedName>
    <definedName name="noramps">'5. Ramps'!$C$9</definedName>
    <definedName name="opt_angle">'4. Parking Area'!$C$33</definedName>
    <definedName name="option4_8">'4. Parking Area'!$G$60</definedName>
    <definedName name="p3_3">Options!$B$26:$B$28</definedName>
    <definedName name="pass">Tags!$B$27</definedName>
    <definedName name="rampsCurved">'5. Ramps'!$C$13</definedName>
    <definedName name="slcp">'6. Pedestrian Access'!$C$9</definedName>
    <definedName name="spaces">'General Info'!$D$31</definedName>
    <definedName name="timeofday" localSheetId="18">Tags!$B$20:$B$22</definedName>
    <definedName name="timeofday">Options!$B$4:$B$6</definedName>
    <definedName name="transArea">'Unplugged Translation Sheet'!#REF!,'Unplugged Translation Sheet'!#REF!,'Unplugged Translation Sheet'!#REF!</definedName>
    <definedName name="weatherconditions" localSheetId="18">Tags!$B$24:$B$28</definedName>
    <definedName name="weatherconditions">Options!$B$8:$B$12</definedName>
    <definedName name="yes">Options!$B$23</definedName>
    <definedName name="YesNo">Options!$B$23:$B$24</definedName>
  </definedNames>
  <calcPr calcId="152511"/>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C1" i="32" l="1"/>
  <c r="C3" i="32"/>
  <c r="C4" i="32"/>
  <c r="C5" i="32"/>
  <c r="C6" i="32"/>
  <c r="C7" i="32"/>
  <c r="C8" i="32"/>
  <c r="B1" i="32"/>
  <c r="A1" i="33" s="1"/>
  <c r="C5" i="33"/>
  <c r="C6" i="33"/>
  <c r="C7" i="33"/>
  <c r="C8" i="33" s="1"/>
  <c r="C9" i="33" s="1"/>
  <c r="C10" i="33"/>
  <c r="C11" i="33" s="1"/>
  <c r="C12" i="33" s="1"/>
  <c r="C13" i="33" s="1"/>
  <c r="C14" i="33" s="1"/>
  <c r="C15" i="33" s="1"/>
  <c r="C16" i="33" s="1"/>
  <c r="C17" i="33" s="1"/>
  <c r="C18" i="33" s="1"/>
  <c r="C19" i="33" s="1"/>
  <c r="C20" i="33" s="1"/>
  <c r="C21" i="33" s="1"/>
  <c r="C22" i="33" s="1"/>
  <c r="C23" i="33" s="1"/>
  <c r="C16" i="3"/>
  <c r="E17" i="3" s="1"/>
  <c r="C17" i="3"/>
  <c r="E13" i="4"/>
  <c r="D37" i="4"/>
  <c r="F4" i="4" s="1"/>
  <c r="G8" i="19" s="1"/>
  <c r="A1" i="34"/>
  <c r="A28" i="34"/>
  <c r="B28" i="34" s="1"/>
  <c r="D37" i="20"/>
  <c r="F4" i="20"/>
  <c r="G9" i="19" s="1"/>
  <c r="D18" i="30"/>
  <c r="F4" i="30" s="1"/>
  <c r="G10" i="19" s="1"/>
  <c r="D36" i="21"/>
  <c r="F4" i="21" s="1"/>
  <c r="G11" i="19" s="1"/>
  <c r="D27" i="23"/>
  <c r="F4" i="23" s="1"/>
  <c r="G12" i="19" s="1"/>
  <c r="D32" i="24"/>
  <c r="F4" i="24" s="1"/>
  <c r="G13" i="19" s="1"/>
  <c r="D43" i="25"/>
  <c r="F4" i="25" s="1"/>
  <c r="G14" i="19" s="1"/>
  <c r="D21" i="26"/>
  <c r="F4" i="26"/>
  <c r="G15" i="19" s="1"/>
  <c r="E9" i="3"/>
  <c r="E10" i="3"/>
  <c r="E11" i="3"/>
  <c r="E12" i="3"/>
  <c r="E13" i="3"/>
  <c r="E14" i="3"/>
  <c r="E15" i="3"/>
  <c r="E16" i="3"/>
  <c r="D18" i="3"/>
  <c r="F4" i="3"/>
  <c r="G7" i="19" s="1"/>
  <c r="E3" i="32"/>
  <c r="E4" i="32"/>
  <c r="E5" i="32"/>
  <c r="E6" i="32"/>
  <c r="E7" i="32"/>
  <c r="E8" i="32"/>
  <c r="D1" i="32"/>
  <c r="A355" i="51"/>
  <c r="A356" i="51" s="1"/>
  <c r="A357" i="51" s="1"/>
  <c r="A358" i="51" s="1"/>
  <c r="A359" i="51"/>
  <c r="A360" i="51" s="1"/>
  <c r="A361" i="51"/>
  <c r="A362" i="51"/>
  <c r="C348" i="51"/>
  <c r="C341" i="51"/>
  <c r="C333" i="51"/>
  <c r="C320" i="51"/>
  <c r="C312" i="51"/>
  <c r="C305" i="51"/>
  <c r="C298" i="51"/>
  <c r="C290" i="51"/>
  <c r="C284" i="51"/>
  <c r="C277" i="51"/>
  <c r="A5" i="51"/>
  <c r="A6" i="51"/>
  <c r="A7" i="51" s="1"/>
  <c r="A8" i="51" s="1"/>
  <c r="A9" i="51" s="1"/>
  <c r="A10" i="51"/>
  <c r="A11" i="51" s="1"/>
  <c r="A12" i="51" s="1"/>
  <c r="A13" i="51" s="1"/>
  <c r="A14" i="51" s="1"/>
  <c r="A15" i="51" s="1"/>
  <c r="A16" i="51"/>
  <c r="C5" i="31"/>
  <c r="C6" i="31"/>
  <c r="C7" i="31"/>
  <c r="C8" i="31" s="1"/>
  <c r="C9" i="31" s="1"/>
  <c r="C10" i="31" s="1"/>
  <c r="C11" i="31" s="1"/>
  <c r="C12" i="31"/>
  <c r="C13" i="31" s="1"/>
  <c r="E1" i="32"/>
  <c r="A72" i="34"/>
  <c r="B72" i="34" s="1"/>
  <c r="A1" i="50" s="1"/>
  <c r="A138" i="34"/>
  <c r="A70" i="34"/>
  <c r="A36" i="34"/>
  <c r="A19" i="34"/>
  <c r="A4" i="34"/>
  <c r="B4" i="34"/>
  <c r="A5" i="34"/>
  <c r="B5" i="34" s="1"/>
  <c r="A6" i="34"/>
  <c r="B6" i="34"/>
  <c r="A7" i="34"/>
  <c r="B7" i="34" s="1"/>
  <c r="A8" i="34"/>
  <c r="B8" i="34"/>
  <c r="A9" i="34"/>
  <c r="B9" i="34" s="1"/>
  <c r="A10" i="34"/>
  <c r="B10" i="34"/>
  <c r="A11" i="34"/>
  <c r="B11" i="34" s="1"/>
  <c r="A12" i="34"/>
  <c r="B12" i="34"/>
  <c r="A13" i="34"/>
  <c r="B13" i="34" s="1"/>
  <c r="A14" i="34"/>
  <c r="B14" i="34"/>
  <c r="A15" i="34"/>
  <c r="B15" i="34" s="1"/>
  <c r="A16" i="34"/>
  <c r="B16" i="34"/>
  <c r="A17" i="34"/>
  <c r="B17" i="34" s="1"/>
  <c r="A18" i="34"/>
  <c r="B18" i="34"/>
  <c r="B19" i="34"/>
  <c r="A20" i="34"/>
  <c r="B20" i="34"/>
  <c r="A21" i="34"/>
  <c r="B21" i="34" s="1"/>
  <c r="A22" i="34"/>
  <c r="B22" i="34"/>
  <c r="A23" i="34"/>
  <c r="B23" i="34" s="1"/>
  <c r="A24" i="34"/>
  <c r="B24" i="34"/>
  <c r="A25" i="34"/>
  <c r="B25" i="34" s="1"/>
  <c r="A26" i="34"/>
  <c r="B26" i="34"/>
  <c r="A27" i="34"/>
  <c r="B27" i="34" s="1"/>
  <c r="A29" i="34"/>
  <c r="B29" i="34"/>
  <c r="A30" i="34"/>
  <c r="B30" i="34" s="1"/>
  <c r="A31" i="34"/>
  <c r="B31" i="34"/>
  <c r="A32" i="34"/>
  <c r="B32" i="34" s="1"/>
  <c r="A33" i="34"/>
  <c r="B33" i="34"/>
  <c r="A34" i="34"/>
  <c r="B34" i="34" s="1"/>
  <c r="A35" i="34"/>
  <c r="B35" i="34"/>
  <c r="B36" i="34"/>
  <c r="A37" i="34"/>
  <c r="B37" i="34" s="1"/>
  <c r="A38" i="34"/>
  <c r="B38" i="34"/>
  <c r="A39" i="34"/>
  <c r="B39" i="34" s="1"/>
  <c r="A40" i="34"/>
  <c r="B40" i="34"/>
  <c r="A41" i="34"/>
  <c r="B41" i="34" s="1"/>
  <c r="A42" i="34"/>
  <c r="B42" i="34"/>
  <c r="A43" i="34"/>
  <c r="B43" i="34" s="1"/>
  <c r="A44" i="34"/>
  <c r="B44" i="34"/>
  <c r="A45" i="34"/>
  <c r="B45" i="34" s="1"/>
  <c r="A46" i="34"/>
  <c r="B46" i="34"/>
  <c r="A47" i="34"/>
  <c r="B47" i="34" s="1"/>
  <c r="A48" i="34"/>
  <c r="B48" i="34"/>
  <c r="A49" i="34"/>
  <c r="B49" i="34" s="1"/>
  <c r="A50" i="34"/>
  <c r="B50" i="34"/>
  <c r="A51" i="34"/>
  <c r="B51" i="34" s="1"/>
  <c r="A52" i="34"/>
  <c r="B52" i="34"/>
  <c r="A53" i="34"/>
  <c r="B53" i="34" s="1"/>
  <c r="A54" i="34"/>
  <c r="B54" i="34"/>
  <c r="A55" i="34"/>
  <c r="B55" i="34" s="1"/>
  <c r="A56" i="34"/>
  <c r="B56" i="34"/>
  <c r="A57" i="34"/>
  <c r="B57" i="34" s="1"/>
  <c r="A58" i="34"/>
  <c r="B58" i="34"/>
  <c r="A59" i="34"/>
  <c r="B59" i="34" s="1"/>
  <c r="A60" i="34"/>
  <c r="B60" i="34"/>
  <c r="A61" i="34"/>
  <c r="B61" i="34" s="1"/>
  <c r="A62" i="34"/>
  <c r="B62" i="34"/>
  <c r="A63" i="34"/>
  <c r="B63" i="34" s="1"/>
  <c r="A64" i="34"/>
  <c r="B64" i="34"/>
  <c r="A65" i="34"/>
  <c r="B65" i="34" s="1"/>
  <c r="A66" i="34"/>
  <c r="B66" i="34"/>
  <c r="A67" i="34"/>
  <c r="B67" i="34" s="1"/>
  <c r="A68" i="34"/>
  <c r="B68" i="34"/>
  <c r="A69" i="34"/>
  <c r="B69" i="34" s="1"/>
  <c r="A71" i="34"/>
  <c r="B71" i="34" s="1"/>
  <c r="A73" i="34"/>
  <c r="B73" i="34"/>
  <c r="A74" i="34"/>
  <c r="B74" i="34" s="1"/>
  <c r="A75" i="34"/>
  <c r="B75" i="34"/>
  <c r="A76" i="34"/>
  <c r="B76" i="34" s="1"/>
  <c r="A77" i="34"/>
  <c r="B77" i="34"/>
  <c r="A78" i="34"/>
  <c r="B78" i="34" s="1"/>
  <c r="A79" i="34"/>
  <c r="B79" i="34"/>
  <c r="A80" i="34"/>
  <c r="B80" i="34" s="1"/>
  <c r="A81" i="34"/>
  <c r="B81" i="34"/>
  <c r="A82" i="34"/>
  <c r="B82" i="34" s="1"/>
  <c r="A83" i="34"/>
  <c r="B83" i="34"/>
  <c r="A84" i="34"/>
  <c r="B84" i="34" s="1"/>
  <c r="A85" i="34"/>
  <c r="B85" i="34"/>
  <c r="A86" i="34"/>
  <c r="B86" i="34" s="1"/>
  <c r="A87" i="34"/>
  <c r="B87" i="34"/>
  <c r="A88" i="34"/>
  <c r="B88" i="34" s="1"/>
  <c r="A89" i="34"/>
  <c r="B89" i="34"/>
  <c r="A90" i="34"/>
  <c r="B90" i="34" s="1"/>
  <c r="A91" i="34"/>
  <c r="B91" i="34"/>
  <c r="A92" i="34"/>
  <c r="B92" i="34" s="1"/>
  <c r="A93" i="34"/>
  <c r="B93" i="34"/>
  <c r="A94" i="34"/>
  <c r="B94" i="34" s="1"/>
  <c r="A95" i="34"/>
  <c r="B95" i="34"/>
  <c r="A96" i="34"/>
  <c r="B96" i="34" s="1"/>
  <c r="A97" i="34"/>
  <c r="B97" i="34"/>
  <c r="A98" i="34"/>
  <c r="B98" i="34" s="1"/>
  <c r="A99" i="34"/>
  <c r="B99" i="34"/>
  <c r="A100" i="34"/>
  <c r="B100" i="34" s="1"/>
  <c r="A101" i="34"/>
  <c r="B101" i="34"/>
  <c r="A102" i="34"/>
  <c r="B102" i="34" s="1"/>
  <c r="A103" i="34"/>
  <c r="B103" i="34"/>
  <c r="A104" i="34"/>
  <c r="B104" i="34" s="1"/>
  <c r="A105" i="34"/>
  <c r="B105" i="34"/>
  <c r="A106" i="34"/>
  <c r="B106" i="34" s="1"/>
  <c r="A107" i="34"/>
  <c r="B107" i="34"/>
  <c r="A108" i="34"/>
  <c r="B108" i="34" s="1"/>
  <c r="A109" i="34"/>
  <c r="B109" i="34"/>
  <c r="A110" i="34"/>
  <c r="B110" i="34" s="1"/>
  <c r="A111" i="34"/>
  <c r="B111" i="34"/>
  <c r="A112" i="34"/>
  <c r="B112" i="34" s="1"/>
  <c r="A113" i="34"/>
  <c r="B113" i="34"/>
  <c r="A114" i="34"/>
  <c r="B114" i="34" s="1"/>
  <c r="A115" i="34"/>
  <c r="B115" i="34"/>
  <c r="A116" i="34"/>
  <c r="B116" i="34" s="1"/>
  <c r="A117" i="34"/>
  <c r="B117" i="34"/>
  <c r="A118" i="34"/>
  <c r="B118" i="34" s="1"/>
  <c r="A119" i="34"/>
  <c r="B119" i="34"/>
  <c r="A120" i="34"/>
  <c r="B120" i="34" s="1"/>
  <c r="A121" i="34"/>
  <c r="B121" i="34"/>
  <c r="A122" i="34"/>
  <c r="B122" i="34" s="1"/>
  <c r="A123" i="34"/>
  <c r="B123" i="34"/>
  <c r="A124" i="34"/>
  <c r="B124" i="34" s="1"/>
  <c r="A125" i="34"/>
  <c r="B125" i="34"/>
  <c r="A126" i="34"/>
  <c r="B126" i="34" s="1"/>
  <c r="A127" i="34"/>
  <c r="B127" i="34"/>
  <c r="A128" i="34"/>
  <c r="B128" i="34" s="1"/>
  <c r="A129" i="34"/>
  <c r="B129" i="34"/>
  <c r="A130" i="34"/>
  <c r="B130" i="34" s="1"/>
  <c r="A131" i="34"/>
  <c r="B131" i="34"/>
  <c r="A132" i="34"/>
  <c r="B132" i="34" s="1"/>
  <c r="A133" i="34"/>
  <c r="B133" i="34"/>
  <c r="A134" i="34"/>
  <c r="B134" i="34" s="1"/>
  <c r="A135" i="34"/>
  <c r="B135" i="34"/>
  <c r="A136" i="34"/>
  <c r="B136" i="34" s="1"/>
  <c r="A137" i="34"/>
  <c r="B137" i="34"/>
  <c r="B138" i="34"/>
  <c r="A139" i="34"/>
  <c r="B139" i="34" s="1"/>
  <c r="A140" i="34"/>
  <c r="B140" i="34"/>
  <c r="A141" i="34"/>
  <c r="B141" i="34" s="1"/>
  <c r="A142" i="34"/>
  <c r="B142" i="34" s="1"/>
  <c r="A143" i="34"/>
  <c r="B143" i="34" s="1"/>
  <c r="A144" i="34"/>
  <c r="B144" i="34"/>
  <c r="A145" i="34"/>
  <c r="B145" i="34" s="1"/>
  <c r="A146" i="34"/>
  <c r="B146" i="34" s="1"/>
  <c r="A147" i="34"/>
  <c r="B147" i="34" s="1"/>
  <c r="A148" i="34"/>
  <c r="B148" i="34"/>
  <c r="A149" i="34"/>
  <c r="B149" i="34" s="1"/>
  <c r="A150" i="34"/>
  <c r="B150" i="34" s="1"/>
  <c r="A151" i="34"/>
  <c r="B151" i="34" s="1"/>
  <c r="A152" i="34"/>
  <c r="B152" i="34"/>
  <c r="C579" i="48"/>
  <c r="C571" i="48"/>
  <c r="C563" i="48"/>
  <c r="C555" i="48"/>
  <c r="C547" i="48"/>
  <c r="C539" i="48"/>
  <c r="C531" i="48"/>
  <c r="C523" i="48"/>
  <c r="C514" i="48"/>
  <c r="A4" i="33"/>
  <c r="A5" i="33"/>
  <c r="A6" i="33"/>
  <c r="A7" i="33"/>
  <c r="A8" i="33"/>
  <c r="A9" i="33"/>
  <c r="A10" i="33"/>
  <c r="A11" i="33"/>
  <c r="A12" i="33"/>
  <c r="A13" i="33"/>
  <c r="A14" i="33"/>
  <c r="A15" i="33"/>
  <c r="A16" i="33"/>
  <c r="A17" i="33"/>
  <c r="A18" i="33"/>
  <c r="A19" i="33"/>
  <c r="A20" i="33"/>
  <c r="A21" i="33"/>
  <c r="A22" i="33"/>
  <c r="A4" i="31"/>
  <c r="A1" i="31"/>
  <c r="A5" i="31"/>
  <c r="A6" i="31"/>
  <c r="A7" i="31"/>
  <c r="A8" i="31"/>
  <c r="A9" i="31"/>
  <c r="A10" i="31"/>
  <c r="A11" i="31"/>
  <c r="A12" i="31"/>
  <c r="B27" i="1"/>
  <c r="B273" i="48"/>
  <c r="B272" i="48"/>
  <c r="B271" i="48"/>
  <c r="B270" i="48"/>
  <c r="B269" i="48"/>
  <c r="B268" i="48"/>
  <c r="B267" i="48"/>
  <c r="B266" i="48"/>
  <c r="B265" i="48"/>
  <c r="B264" i="48"/>
  <c r="B263" i="48"/>
  <c r="B262" i="48"/>
  <c r="B261" i="48"/>
  <c r="B260" i="48"/>
  <c r="B259" i="48"/>
  <c r="B258" i="48"/>
  <c r="B257" i="48"/>
  <c r="B256" i="48"/>
  <c r="B255" i="48"/>
  <c r="B254" i="48"/>
  <c r="B253" i="48"/>
  <c r="B252" i="48"/>
  <c r="B251" i="48"/>
  <c r="B250" i="48"/>
  <c r="B249" i="48"/>
  <c r="B248" i="48"/>
  <c r="B247" i="48"/>
  <c r="B246" i="48"/>
  <c r="B245" i="48"/>
  <c r="B244" i="48"/>
  <c r="B243" i="48"/>
  <c r="B242" i="48"/>
  <c r="B241" i="48"/>
  <c r="B240" i="48"/>
  <c r="B239" i="48"/>
  <c r="B238" i="48"/>
  <c r="B237" i="48"/>
  <c r="B236" i="48"/>
  <c r="B235" i="48"/>
  <c r="B234" i="48"/>
  <c r="B233" i="48"/>
  <c r="B232" i="48"/>
  <c r="B231" i="48"/>
  <c r="B230" i="48"/>
  <c r="B229" i="48"/>
  <c r="B228" i="48"/>
  <c r="B227" i="48"/>
  <c r="B226" i="48"/>
  <c r="B225" i="48"/>
  <c r="B224" i="48"/>
  <c r="B223" i="48"/>
  <c r="B222" i="48"/>
  <c r="B221" i="48"/>
  <c r="B220" i="48"/>
  <c r="B219" i="48"/>
  <c r="B218" i="48"/>
  <c r="B217" i="48"/>
  <c r="B216" i="48"/>
  <c r="B215" i="48"/>
  <c r="B214" i="48"/>
  <c r="B213" i="48"/>
  <c r="B212" i="48"/>
  <c r="B211" i="48"/>
  <c r="B210" i="48"/>
  <c r="B209" i="48"/>
  <c r="B208" i="48"/>
  <c r="B207" i="48"/>
  <c r="B206" i="48"/>
  <c r="B205" i="48"/>
  <c r="B204" i="48"/>
  <c r="B203" i="48"/>
  <c r="B202" i="48"/>
  <c r="B201" i="48"/>
  <c r="B200" i="48"/>
  <c r="B199" i="48"/>
  <c r="B198" i="48"/>
  <c r="B197" i="48"/>
  <c r="B196" i="48"/>
  <c r="B195" i="48"/>
  <c r="B194" i="48"/>
  <c r="B193" i="48"/>
  <c r="B192" i="48"/>
  <c r="B191" i="48"/>
  <c r="B190" i="48"/>
  <c r="B189" i="48"/>
  <c r="B188" i="48"/>
  <c r="B187" i="48"/>
  <c r="B186" i="48"/>
  <c r="B185" i="48"/>
  <c r="B184" i="48"/>
  <c r="B183" i="48"/>
  <c r="B182" i="48"/>
  <c r="B181" i="48"/>
  <c r="B180" i="48"/>
  <c r="B179" i="48"/>
  <c r="B178" i="48"/>
  <c r="B177" i="48"/>
  <c r="B176" i="48"/>
  <c r="B175" i="48"/>
  <c r="B174" i="48"/>
  <c r="B173" i="48"/>
  <c r="B172" i="48"/>
  <c r="B171" i="48"/>
  <c r="B170" i="48"/>
  <c r="B169" i="48"/>
  <c r="B168" i="48"/>
  <c r="B167" i="48"/>
  <c r="B166" i="48"/>
  <c r="B165" i="48"/>
  <c r="B164" i="48"/>
  <c r="B163" i="48"/>
  <c r="B162" i="48"/>
  <c r="B161" i="48"/>
  <c r="B160" i="48"/>
  <c r="B159" i="48"/>
  <c r="B158" i="48"/>
  <c r="B157" i="48"/>
  <c r="B156" i="48"/>
  <c r="B155" i="48"/>
  <c r="B154" i="48"/>
  <c r="B153" i="48"/>
  <c r="B152" i="48"/>
  <c r="B151" i="48"/>
  <c r="B150" i="48"/>
  <c r="B149" i="48"/>
  <c r="B148" i="48"/>
  <c r="B147" i="48"/>
  <c r="B146" i="48"/>
  <c r="B145" i="48"/>
  <c r="B144" i="48"/>
  <c r="B143" i="48"/>
  <c r="B142" i="48"/>
  <c r="B141" i="48"/>
  <c r="B140" i="48"/>
  <c r="B139" i="48"/>
  <c r="B138" i="48"/>
  <c r="B137" i="48"/>
  <c r="B136" i="48"/>
  <c r="B135" i="48"/>
  <c r="B134" i="48"/>
  <c r="B133" i="48"/>
  <c r="B132" i="48"/>
  <c r="B131" i="48"/>
  <c r="B130" i="48"/>
  <c r="B129" i="48"/>
  <c r="B128" i="48"/>
  <c r="B127" i="48"/>
  <c r="B126" i="48"/>
  <c r="B125" i="48"/>
  <c r="B124" i="48"/>
  <c r="B123" i="48"/>
  <c r="B122" i="48"/>
  <c r="B121" i="48"/>
  <c r="B120" i="48"/>
  <c r="B119" i="48"/>
  <c r="B118" i="48"/>
  <c r="B117" i="48"/>
  <c r="B116" i="48"/>
  <c r="B115" i="48"/>
  <c r="B114" i="48"/>
  <c r="B113" i="48"/>
  <c r="B112" i="48"/>
  <c r="B111" i="48"/>
  <c r="B110" i="48"/>
  <c r="B109" i="48"/>
  <c r="B108" i="48"/>
  <c r="B107" i="48"/>
  <c r="B106" i="48"/>
  <c r="B105" i="48"/>
  <c r="B104" i="48"/>
  <c r="B103" i="48"/>
  <c r="B102" i="48"/>
  <c r="B100" i="48"/>
  <c r="B99" i="48"/>
  <c r="B98" i="48"/>
  <c r="B97" i="48"/>
  <c r="B96" i="48"/>
  <c r="B95" i="48"/>
  <c r="B94" i="48"/>
  <c r="B93" i="48"/>
  <c r="B92" i="48"/>
  <c r="B91" i="48"/>
  <c r="B90" i="48"/>
  <c r="B89" i="48"/>
  <c r="B88" i="48"/>
  <c r="B87" i="48"/>
  <c r="B86" i="48"/>
  <c r="B85" i="48"/>
  <c r="B84" i="48"/>
  <c r="B83" i="48"/>
  <c r="B82" i="48"/>
  <c r="B81" i="48"/>
  <c r="B80" i="48"/>
  <c r="B79" i="48"/>
  <c r="B78" i="48"/>
  <c r="B77" i="48"/>
  <c r="B76" i="48"/>
  <c r="B75" i="48"/>
  <c r="B74" i="48"/>
  <c r="B73" i="48"/>
  <c r="B72" i="48"/>
  <c r="B71" i="48"/>
  <c r="B70" i="48"/>
  <c r="B69" i="48"/>
  <c r="B68" i="48"/>
  <c r="B67" i="48"/>
  <c r="B66" i="48"/>
  <c r="B65" i="48"/>
  <c r="B64" i="48"/>
  <c r="B63" i="48"/>
  <c r="B62" i="48"/>
  <c r="B61" i="48"/>
  <c r="B60" i="48"/>
  <c r="B59" i="48"/>
  <c r="B58" i="48"/>
  <c r="B57" i="48"/>
  <c r="B56" i="48"/>
  <c r="B55" i="48"/>
  <c r="B54" i="48"/>
  <c r="B53" i="48"/>
  <c r="B52" i="48"/>
  <c r="B51" i="48"/>
  <c r="B50" i="48"/>
  <c r="B49" i="48"/>
  <c r="B48" i="48"/>
  <c r="B47" i="48"/>
  <c r="B46" i="48"/>
  <c r="B45" i="48"/>
  <c r="B44" i="48"/>
  <c r="B43" i="48"/>
  <c r="B42" i="48"/>
  <c r="B41" i="48"/>
  <c r="B40" i="48"/>
  <c r="B39" i="48"/>
  <c r="B38" i="48"/>
  <c r="B37" i="48"/>
  <c r="B36" i="48"/>
  <c r="B35" i="48"/>
  <c r="B34" i="48"/>
  <c r="B33" i="48"/>
  <c r="B32" i="48"/>
  <c r="B31" i="48"/>
  <c r="B30" i="48"/>
  <c r="B29" i="48"/>
  <c r="B28" i="48"/>
  <c r="B27" i="48"/>
  <c r="B26" i="48"/>
  <c r="B25" i="48"/>
  <c r="B24" i="48"/>
  <c r="B23" i="48"/>
  <c r="B22" i="48"/>
  <c r="B21" i="48"/>
  <c r="B20" i="48"/>
  <c r="B19" i="48"/>
  <c r="B18" i="48"/>
  <c r="B17" i="48"/>
  <c r="B16" i="48"/>
  <c r="B15" i="48"/>
  <c r="B14" i="48"/>
  <c r="B13" i="48"/>
  <c r="B12" i="48"/>
  <c r="B11" i="48"/>
  <c r="B10" i="48"/>
  <c r="B9" i="48"/>
  <c r="B8" i="48"/>
  <c r="B7" i="48"/>
  <c r="B6" i="48"/>
  <c r="B5" i="48"/>
  <c r="B4" i="48"/>
  <c r="C1" i="48"/>
  <c r="B35" i="1"/>
  <c r="B37" i="1"/>
  <c r="B41" i="1"/>
  <c r="B39" i="1"/>
  <c r="B33" i="1"/>
  <c r="B29" i="1"/>
  <c r="C5" i="3"/>
  <c r="C6" i="3" s="1"/>
  <c r="F7" i="19" s="1"/>
  <c r="C5" i="4"/>
  <c r="C6" i="4" s="1"/>
  <c r="F8" i="19" s="1"/>
  <c r="C5" i="20"/>
  <c r="C6" i="20" s="1"/>
  <c r="F9" i="19" s="1"/>
  <c r="C5" i="23"/>
  <c r="C6" i="23"/>
  <c r="F12" i="19"/>
  <c r="C5" i="24"/>
  <c r="C6" i="24"/>
  <c r="F13" i="19" s="1"/>
  <c r="C5" i="26"/>
  <c r="C6" i="26"/>
  <c r="F15" i="19" s="1"/>
  <c r="I3" i="31"/>
  <c r="I3" i="33"/>
  <c r="I3" i="34"/>
  <c r="H3" i="31"/>
  <c r="G3" i="33"/>
  <c r="F3" i="33"/>
  <c r="E3" i="33"/>
  <c r="D3" i="33"/>
  <c r="H3" i="33"/>
  <c r="H3" i="34"/>
  <c r="C5" i="27"/>
  <c r="A1" i="47"/>
  <c r="B3" i="43"/>
  <c r="A1" i="42"/>
  <c r="A1" i="43"/>
  <c r="A3" i="41"/>
  <c r="A3" i="42"/>
  <c r="A3" i="43" s="1"/>
  <c r="B3" i="42"/>
  <c r="B3" i="41"/>
  <c r="A1" i="40"/>
  <c r="E35" i="27"/>
  <c r="D37" i="27"/>
  <c r="F4" i="27" s="1"/>
  <c r="E25" i="28"/>
  <c r="D26" i="28"/>
  <c r="F4" i="28"/>
  <c r="G19" i="19" s="1"/>
  <c r="E21" i="40"/>
  <c r="E25" i="40"/>
  <c r="E27" i="40"/>
  <c r="K16" i="19"/>
  <c r="K22" i="19" s="1"/>
  <c r="K20" i="19"/>
  <c r="F27" i="19"/>
  <c r="A38" i="40" s="1"/>
  <c r="C3" i="2"/>
  <c r="C3" i="40"/>
  <c r="D3" i="40"/>
  <c r="B9" i="30"/>
  <c r="A11" i="19"/>
  <c r="F6" i="24" s="1"/>
  <c r="F13" i="24" s="1"/>
  <c r="F6" i="27"/>
  <c r="A3" i="40"/>
  <c r="A32" i="40"/>
  <c r="A29" i="40"/>
  <c r="A27" i="40"/>
  <c r="A21" i="40"/>
  <c r="A25" i="40"/>
  <c r="B24" i="40"/>
  <c r="A24" i="40"/>
  <c r="A23" i="40"/>
  <c r="A16" i="40"/>
  <c r="A15" i="40"/>
  <c r="A14" i="40"/>
  <c r="A13" i="40"/>
  <c r="A12" i="40"/>
  <c r="G11" i="40"/>
  <c r="F11" i="40"/>
  <c r="E11" i="40"/>
  <c r="D11" i="40"/>
  <c r="C11" i="40"/>
  <c r="A8" i="40"/>
  <c r="A11" i="40" s="1"/>
  <c r="G8" i="40"/>
  <c r="F1" i="40"/>
  <c r="D1" i="39"/>
  <c r="A1" i="39"/>
  <c r="D1" i="33"/>
  <c r="A4" i="39"/>
  <c r="B4" i="39"/>
  <c r="A5" i="39"/>
  <c r="B5" i="39"/>
  <c r="G3" i="39"/>
  <c r="F3" i="39"/>
  <c r="E3" i="39"/>
  <c r="D3" i="39"/>
  <c r="G3" i="31"/>
  <c r="G3" i="34"/>
  <c r="F3" i="34"/>
  <c r="E3" i="34"/>
  <c r="D3" i="34"/>
  <c r="F3" i="31"/>
  <c r="E3" i="31"/>
  <c r="D3" i="31"/>
  <c r="A28" i="28"/>
  <c r="A39" i="27"/>
  <c r="A23" i="26"/>
  <c r="A45" i="25"/>
  <c r="A34" i="24"/>
  <c r="A29" i="23"/>
  <c r="A38" i="21"/>
  <c r="A20" i="30"/>
  <c r="A39" i="20"/>
  <c r="A39" i="4"/>
  <c r="A29" i="3"/>
  <c r="A19" i="2"/>
  <c r="E4" i="3"/>
  <c r="E4" i="4"/>
  <c r="D8" i="4" s="1"/>
  <c r="E4" i="20"/>
  <c r="E4" i="30"/>
  <c r="D8" i="30" s="1"/>
  <c r="E4" i="21"/>
  <c r="E4" i="23"/>
  <c r="D8" i="23" s="1"/>
  <c r="E4" i="24"/>
  <c r="E4" i="25"/>
  <c r="D8" i="25" s="1"/>
  <c r="E4" i="26"/>
  <c r="E4" i="27"/>
  <c r="D8" i="27" s="1"/>
  <c r="E4" i="28"/>
  <c r="L1" i="19"/>
  <c r="H8" i="28"/>
  <c r="G8" i="28"/>
  <c r="F8" i="28"/>
  <c r="E3" i="28"/>
  <c r="E8" i="28" s="1"/>
  <c r="D8" i="28"/>
  <c r="C8" i="28"/>
  <c r="H8" i="27"/>
  <c r="G8" i="27"/>
  <c r="F8" i="27"/>
  <c r="E3" i="27"/>
  <c r="E8" i="27"/>
  <c r="C8" i="27"/>
  <c r="H8" i="26"/>
  <c r="G8" i="26"/>
  <c r="F8" i="26"/>
  <c r="E3" i="26"/>
  <c r="E8" i="26" s="1"/>
  <c r="D8" i="26"/>
  <c r="C8" i="26"/>
  <c r="H8" i="25"/>
  <c r="G8" i="25"/>
  <c r="F8" i="25"/>
  <c r="E3" i="25"/>
  <c r="E8" i="25"/>
  <c r="C8" i="25"/>
  <c r="H8" i="24"/>
  <c r="G8" i="24"/>
  <c r="F8" i="24"/>
  <c r="E3" i="24"/>
  <c r="E8" i="24" s="1"/>
  <c r="D8" i="24"/>
  <c r="C8" i="24"/>
  <c r="H8" i="23"/>
  <c r="G8" i="23"/>
  <c r="F8" i="23"/>
  <c r="E3" i="23"/>
  <c r="E8" i="23"/>
  <c r="C8" i="23"/>
  <c r="H8" i="21"/>
  <c r="G8" i="21"/>
  <c r="F8" i="21"/>
  <c r="E3" i="21"/>
  <c r="E8" i="21" s="1"/>
  <c r="D8" i="21"/>
  <c r="C8" i="21"/>
  <c r="H8" i="30"/>
  <c r="G8" i="30"/>
  <c r="F8" i="30"/>
  <c r="E3" i="30"/>
  <c r="E8" i="30"/>
  <c r="C8" i="30"/>
  <c r="H8" i="20"/>
  <c r="G8" i="20"/>
  <c r="F8" i="20"/>
  <c r="E3" i="20"/>
  <c r="E8" i="20" s="1"/>
  <c r="D8" i="20"/>
  <c r="C8" i="20"/>
  <c r="H8" i="4"/>
  <c r="G8" i="4"/>
  <c r="F8" i="4"/>
  <c r="E3" i="4"/>
  <c r="E8" i="4"/>
  <c r="C8" i="4"/>
  <c r="H8" i="3"/>
  <c r="G8" i="3"/>
  <c r="F8" i="3"/>
  <c r="E3" i="3"/>
  <c r="E8" i="3" s="1"/>
  <c r="D8" i="3"/>
  <c r="C8" i="3"/>
  <c r="E6" i="28"/>
  <c r="E5" i="28"/>
  <c r="E6" i="27"/>
  <c r="E5" i="27"/>
  <c r="E6" i="26"/>
  <c r="E5" i="26"/>
  <c r="E6" i="25"/>
  <c r="E5" i="25"/>
  <c r="E6" i="24"/>
  <c r="E5" i="24"/>
  <c r="E6" i="23"/>
  <c r="E5" i="23"/>
  <c r="E6" i="21"/>
  <c r="E5" i="21"/>
  <c r="E6" i="30"/>
  <c r="E5" i="30"/>
  <c r="E6" i="20"/>
  <c r="E5" i="20"/>
  <c r="E6" i="4"/>
  <c r="E5" i="4"/>
  <c r="B6" i="28"/>
  <c r="B5" i="28"/>
  <c r="B4" i="28"/>
  <c r="B3" i="28"/>
  <c r="B6" i="27"/>
  <c r="B5" i="27"/>
  <c r="B4" i="27"/>
  <c r="B3" i="27"/>
  <c r="B6" i="26"/>
  <c r="B5" i="26"/>
  <c r="B4" i="26"/>
  <c r="B3" i="26"/>
  <c r="B6" i="25"/>
  <c r="B5" i="25"/>
  <c r="B4" i="25"/>
  <c r="B3" i="25"/>
  <c r="B6" i="24"/>
  <c r="B5" i="24"/>
  <c r="B4" i="24"/>
  <c r="B3" i="24"/>
  <c r="B6" i="23"/>
  <c r="B5" i="23"/>
  <c r="B4" i="23"/>
  <c r="B3" i="23"/>
  <c r="B6" i="21"/>
  <c r="B5" i="21"/>
  <c r="B4" i="21"/>
  <c r="B3" i="21"/>
  <c r="B6" i="30"/>
  <c r="B5" i="30"/>
  <c r="B4" i="30"/>
  <c r="B3" i="30"/>
  <c r="B6" i="20"/>
  <c r="B5" i="20"/>
  <c r="B4" i="20"/>
  <c r="B3" i="20"/>
  <c r="B6" i="4"/>
  <c r="B5" i="4"/>
  <c r="B4" i="4"/>
  <c r="B3" i="4"/>
  <c r="B26" i="28"/>
  <c r="B8" i="28"/>
  <c r="B8" i="27"/>
  <c r="B8" i="26"/>
  <c r="B8" i="25"/>
  <c r="B8" i="24"/>
  <c r="B8" i="23"/>
  <c r="B8" i="21"/>
  <c r="B8" i="30"/>
  <c r="B8" i="20"/>
  <c r="B8" i="4"/>
  <c r="F6" i="28"/>
  <c r="F6" i="26"/>
  <c r="F12" i="26" s="1"/>
  <c r="F6" i="25"/>
  <c r="F26" i="25" s="1"/>
  <c r="F6" i="23"/>
  <c r="F9" i="23" s="1"/>
  <c r="F6" i="21"/>
  <c r="F17" i="21" s="1"/>
  <c r="A10" i="19"/>
  <c r="A8" i="19"/>
  <c r="A9" i="19"/>
  <c r="A7" i="19"/>
  <c r="K24" i="19"/>
  <c r="A27" i="19"/>
  <c r="A24" i="19"/>
  <c r="A22" i="19"/>
  <c r="A16" i="19"/>
  <c r="A20" i="19" s="1"/>
  <c r="M6" i="19"/>
  <c r="M3" i="19"/>
  <c r="L6" i="19"/>
  <c r="K6" i="19"/>
  <c r="J6" i="19"/>
  <c r="I6" i="19"/>
  <c r="H6" i="19"/>
  <c r="G6" i="19"/>
  <c r="F6" i="19"/>
  <c r="E6" i="19"/>
  <c r="D6" i="19"/>
  <c r="C6" i="19"/>
  <c r="F3" i="19"/>
  <c r="E3" i="19"/>
  <c r="D3" i="19"/>
  <c r="C3" i="19"/>
  <c r="A3" i="19"/>
  <c r="A6" i="19"/>
  <c r="A1" i="19"/>
  <c r="C1" i="19"/>
  <c r="B24" i="1"/>
  <c r="D22" i="1"/>
  <c r="B22" i="1"/>
  <c r="B20" i="1"/>
  <c r="B18" i="1"/>
  <c r="B31" i="1"/>
  <c r="B16" i="1"/>
  <c r="B13" i="1"/>
  <c r="B11" i="1"/>
  <c r="D4" i="1"/>
  <c r="D3" i="1"/>
  <c r="D2" i="1"/>
  <c r="E7" i="19"/>
  <c r="E9" i="19"/>
  <c r="E8" i="19"/>
  <c r="E13" i="19"/>
  <c r="E15" i="19"/>
  <c r="C5" i="28"/>
  <c r="E19" i="19" s="1"/>
  <c r="E20" i="19" s="1"/>
  <c r="E18" i="19"/>
  <c r="D7" i="19"/>
  <c r="D8" i="19"/>
  <c r="D9" i="19"/>
  <c r="D12" i="19"/>
  <c r="D13" i="19"/>
  <c r="D15" i="19"/>
  <c r="D19" i="19"/>
  <c r="D18" i="19"/>
  <c r="D20" i="19"/>
  <c r="G25" i="28"/>
  <c r="F9" i="28"/>
  <c r="F20" i="28"/>
  <c r="F26" i="28" s="1"/>
  <c r="F21" i="28"/>
  <c r="F22" i="28"/>
  <c r="F23" i="28"/>
  <c r="F24" i="28"/>
  <c r="F25" i="28"/>
  <c r="G35" i="27"/>
  <c r="F15" i="27"/>
  <c r="F26" i="27"/>
  <c r="F30" i="27"/>
  <c r="F34" i="27"/>
  <c r="C7" i="19"/>
  <c r="C8" i="19"/>
  <c r="C9" i="19"/>
  <c r="C11" i="19"/>
  <c r="C12" i="19"/>
  <c r="C13" i="19"/>
  <c r="C14" i="19"/>
  <c r="C15" i="19"/>
  <c r="B11" i="21"/>
  <c r="B10" i="21"/>
  <c r="B9" i="21"/>
  <c r="E1" i="3"/>
  <c r="E6" i="3"/>
  <c r="E5" i="3"/>
  <c r="B6" i="3"/>
  <c r="B5" i="3"/>
  <c r="B4" i="3"/>
  <c r="B3" i="3"/>
  <c r="D21" i="3"/>
  <c r="C21" i="3"/>
  <c r="B18" i="2"/>
  <c r="B17" i="2"/>
  <c r="B16" i="2"/>
  <c r="D3" i="2"/>
  <c r="B614" i="34"/>
  <c r="B613" i="34"/>
  <c r="B612" i="34"/>
  <c r="B611" i="34"/>
  <c r="B610" i="34"/>
  <c r="B609" i="34"/>
  <c r="B608" i="34"/>
  <c r="B607" i="34"/>
  <c r="B606" i="34"/>
  <c r="B605" i="34"/>
  <c r="B604" i="34"/>
  <c r="B603" i="34"/>
  <c r="D1" i="34"/>
  <c r="D1" i="31"/>
  <c r="C18" i="19"/>
  <c r="C20" i="19" s="1"/>
  <c r="C19" i="19"/>
  <c r="B19" i="19"/>
  <c r="A19" i="19"/>
  <c r="A18" i="19"/>
  <c r="G16" i="19"/>
  <c r="C6" i="27"/>
  <c r="E1" i="27" s="1"/>
  <c r="E1" i="26"/>
  <c r="E1" i="24"/>
  <c r="E12" i="19"/>
  <c r="E1" i="23"/>
  <c r="F9" i="26"/>
  <c r="G13" i="4"/>
  <c r="E1" i="20"/>
  <c r="F30" i="21"/>
  <c r="F26" i="23"/>
  <c r="F15" i="26"/>
  <c r="E1" i="4"/>
  <c r="F13" i="26"/>
  <c r="F16" i="24"/>
  <c r="F34" i="25"/>
  <c r="F22" i="25"/>
  <c r="F20" i="26"/>
  <c r="F16" i="26"/>
  <c r="F14" i="26"/>
  <c r="F19" i="24"/>
  <c r="F39" i="25"/>
  <c r="F9" i="25"/>
  <c r="F11" i="21"/>
  <c r="F16" i="21"/>
  <c r="F40" i="25"/>
  <c r="F38" i="25"/>
  <c r="F23" i="25"/>
  <c r="F13" i="25"/>
  <c r="F18" i="19"/>
  <c r="B6" i="35"/>
  <c r="B5" i="35"/>
  <c r="F9" i="24" l="1"/>
  <c r="F22" i="21"/>
  <c r="F36" i="21" s="1"/>
  <c r="F18" i="24"/>
  <c r="F23" i="21"/>
  <c r="F17" i="26"/>
  <c r="F19" i="26"/>
  <c r="F18" i="21"/>
  <c r="F28" i="24"/>
  <c r="F13" i="21"/>
  <c r="F12" i="21"/>
  <c r="F35" i="21"/>
  <c r="F17" i="24"/>
  <c r="F9" i="21"/>
  <c r="F19" i="21"/>
  <c r="F15" i="21"/>
  <c r="F11" i="23"/>
  <c r="F10" i="23"/>
  <c r="F20" i="23"/>
  <c r="F25" i="23"/>
  <c r="F31" i="25"/>
  <c r="F43" i="25" s="1"/>
  <c r="F14" i="21"/>
  <c r="F27" i="21"/>
  <c r="F21" i="24"/>
  <c r="F18" i="26"/>
  <c r="F21" i="26" s="1"/>
  <c r="F24" i="24"/>
  <c r="F29" i="24"/>
  <c r="F32" i="24" s="1"/>
  <c r="F20" i="24"/>
  <c r="F24" i="23"/>
  <c r="F23" i="23"/>
  <c r="F6" i="20"/>
  <c r="F6" i="4"/>
  <c r="C6" i="28"/>
  <c r="F6" i="3"/>
  <c r="F6" i="30"/>
  <c r="G18" i="19"/>
  <c r="G20" i="19" s="1"/>
  <c r="G22" i="19" s="1"/>
  <c r="F36" i="27"/>
  <c r="F9" i="27"/>
  <c r="F21" i="27"/>
  <c r="F35" i="27"/>
  <c r="C515" i="48"/>
  <c r="C582" i="48"/>
  <c r="C578" i="48"/>
  <c r="C574" i="48"/>
  <c r="C570" i="48"/>
  <c r="C566" i="48"/>
  <c r="C562" i="48"/>
  <c r="C558" i="48"/>
  <c r="C554" i="48"/>
  <c r="C550" i="48"/>
  <c r="C546" i="48"/>
  <c r="C542" i="48"/>
  <c r="C538" i="48"/>
  <c r="C534" i="48"/>
  <c r="C530" i="48"/>
  <c r="C526" i="48"/>
  <c r="C522" i="48"/>
  <c r="C518" i="48"/>
  <c r="C513" i="48"/>
  <c r="C585" i="48"/>
  <c r="C581" i="48"/>
  <c r="C577" i="48"/>
  <c r="C573" i="48"/>
  <c r="C569" i="48"/>
  <c r="C565" i="48"/>
  <c r="C561" i="48"/>
  <c r="C557" i="48"/>
  <c r="C553" i="48"/>
  <c r="C549" i="48"/>
  <c r="C545" i="48"/>
  <c r="C541" i="48"/>
  <c r="C537" i="48"/>
  <c r="C533" i="48"/>
  <c r="C529" i="48"/>
  <c r="C525" i="48"/>
  <c r="C521" i="48"/>
  <c r="C517" i="48"/>
  <c r="C512" i="48"/>
  <c r="B70" i="34"/>
  <c r="D29" i="40" s="1"/>
  <c r="C516" i="48"/>
  <c r="C524" i="48"/>
  <c r="C532" i="48"/>
  <c r="C540" i="48"/>
  <c r="C548" i="48"/>
  <c r="C556" i="48"/>
  <c r="C564" i="48"/>
  <c r="C572" i="48"/>
  <c r="C580" i="48"/>
  <c r="C14" i="31"/>
  <c r="A13" i="31"/>
  <c r="A17" i="51"/>
  <c r="C510" i="48"/>
  <c r="C519" i="48"/>
  <c r="C527" i="48"/>
  <c r="C535" i="48"/>
  <c r="C543" i="48"/>
  <c r="C551" i="48"/>
  <c r="C559" i="48"/>
  <c r="C567" i="48"/>
  <c r="C575" i="48"/>
  <c r="C583" i="48"/>
  <c r="C511" i="48"/>
  <c r="C520" i="48"/>
  <c r="C528" i="48"/>
  <c r="C536" i="48"/>
  <c r="C544" i="48"/>
  <c r="C552" i="48"/>
  <c r="C560" i="48"/>
  <c r="C568" i="48"/>
  <c r="C576" i="48"/>
  <c r="C584" i="48"/>
  <c r="A363" i="51"/>
  <c r="A364" i="51" s="1"/>
  <c r="C351" i="51"/>
  <c r="C347" i="51"/>
  <c r="C343" i="51"/>
  <c r="C339" i="51"/>
  <c r="C335" i="51"/>
  <c r="C331" i="51"/>
  <c r="C327" i="51"/>
  <c r="C323" i="51"/>
  <c r="C319" i="51"/>
  <c r="C315" i="51"/>
  <c r="C311" i="51"/>
  <c r="C307" i="51"/>
  <c r="C303" i="51"/>
  <c r="C299" i="51"/>
  <c r="C295" i="51"/>
  <c r="C291" i="51"/>
  <c r="C287" i="51"/>
  <c r="C283" i="51"/>
  <c r="C279" i="51"/>
  <c r="C350" i="51"/>
  <c r="C345" i="51"/>
  <c r="C340" i="51"/>
  <c r="C334" i="51"/>
  <c r="C329" i="51"/>
  <c r="C324" i="51"/>
  <c r="C318" i="51"/>
  <c r="C313" i="51"/>
  <c r="C308" i="51"/>
  <c r="C302" i="51"/>
  <c r="C297" i="51"/>
  <c r="C292" i="51"/>
  <c r="C286" i="51"/>
  <c r="C281" i="51"/>
  <c r="C276" i="51"/>
  <c r="C346" i="51"/>
  <c r="C338" i="51"/>
  <c r="C332" i="51"/>
  <c r="C325" i="51"/>
  <c r="C317" i="51"/>
  <c r="C310" i="51"/>
  <c r="C304" i="51"/>
  <c r="C296" i="51"/>
  <c r="C289" i="51"/>
  <c r="C282" i="51"/>
  <c r="C344" i="51"/>
  <c r="C337" i="51"/>
  <c r="C330" i="51"/>
  <c r="C322" i="51"/>
  <c r="C316" i="51"/>
  <c r="C309" i="51"/>
  <c r="C301" i="51"/>
  <c r="C294" i="51"/>
  <c r="C288" i="51"/>
  <c r="C280" i="51"/>
  <c r="C349" i="51"/>
  <c r="C342" i="51"/>
  <c r="C336" i="51"/>
  <c r="C328" i="51"/>
  <c r="C321" i="51"/>
  <c r="C314" i="51"/>
  <c r="C306" i="51"/>
  <c r="C300" i="51"/>
  <c r="C293" i="51"/>
  <c r="C285" i="51"/>
  <c r="C278" i="51"/>
  <c r="C326" i="51"/>
  <c r="A23" i="33"/>
  <c r="C24" i="33"/>
  <c r="E18" i="3"/>
  <c r="F3" i="3" s="1"/>
  <c r="C8" i="35"/>
  <c r="F27" i="23" l="1"/>
  <c r="F15" i="30"/>
  <c r="F16" i="30"/>
  <c r="F17" i="30"/>
  <c r="F12" i="30"/>
  <c r="F11" i="30"/>
  <c r="F10" i="30"/>
  <c r="F9" i="30"/>
  <c r="F24" i="20"/>
  <c r="F28" i="20"/>
  <c r="F11" i="20"/>
  <c r="F21" i="20"/>
  <c r="F9" i="20"/>
  <c r="F36" i="20"/>
  <c r="F10" i="20"/>
  <c r="F35" i="20"/>
  <c r="F33" i="20"/>
  <c r="F34" i="20"/>
  <c r="A365" i="51"/>
  <c r="A18" i="51"/>
  <c r="F37" i="27"/>
  <c r="F9" i="3"/>
  <c r="G16" i="3"/>
  <c r="F14" i="3"/>
  <c r="G9" i="3"/>
  <c r="F13" i="3"/>
  <c r="G15" i="3"/>
  <c r="F10" i="3"/>
  <c r="F11" i="3"/>
  <c r="G13" i="3"/>
  <c r="F12" i="3"/>
  <c r="G14" i="3"/>
  <c r="F16" i="3"/>
  <c r="G11" i="3"/>
  <c r="G12" i="3"/>
  <c r="G17" i="3"/>
  <c r="G10" i="3"/>
  <c r="F15" i="3"/>
  <c r="A24" i="33"/>
  <c r="C25" i="33"/>
  <c r="C15" i="31"/>
  <c r="A14" i="31"/>
  <c r="F28" i="4"/>
  <c r="F20" i="4"/>
  <c r="F9" i="4"/>
  <c r="F15" i="4"/>
  <c r="F26" i="4"/>
  <c r="F36" i="4"/>
  <c r="F23" i="4"/>
  <c r="F14" i="4"/>
  <c r="F13" i="4"/>
  <c r="F35" i="4"/>
  <c r="F27" i="4"/>
  <c r="H7" i="19"/>
  <c r="F5" i="3"/>
  <c r="E1" i="28"/>
  <c r="F19" i="19"/>
  <c r="F20" i="19" s="1"/>
  <c r="F37" i="4" l="1"/>
  <c r="G18" i="3"/>
  <c r="F37" i="20"/>
  <c r="C26" i="33"/>
  <c r="A25" i="33"/>
  <c r="A366" i="51"/>
  <c r="C16" i="31"/>
  <c r="A15" i="31"/>
  <c r="G1" i="3"/>
  <c r="H1" i="3"/>
  <c r="A19" i="51"/>
  <c r="F18" i="30"/>
  <c r="I7" i="19"/>
  <c r="F18" i="3"/>
  <c r="C12" i="40" l="1"/>
  <c r="L7" i="19"/>
  <c r="M7" i="19"/>
  <c r="A20" i="51"/>
  <c r="C17" i="31"/>
  <c r="A16" i="31"/>
  <c r="C27" i="33"/>
  <c r="A26" i="33"/>
  <c r="A367" i="51"/>
  <c r="A368" i="51" l="1"/>
  <c r="C18" i="31"/>
  <c r="A17" i="31"/>
  <c r="A21" i="51"/>
  <c r="H3" i="3"/>
  <c r="C28" i="33"/>
  <c r="A27" i="33"/>
  <c r="G12" i="40"/>
  <c r="F12" i="40"/>
  <c r="C19" i="31" l="1"/>
  <c r="A18" i="31"/>
  <c r="C29" i="33"/>
  <c r="A28" i="33"/>
  <c r="A22" i="51"/>
  <c r="A369" i="51"/>
  <c r="A370" i="51" s="1"/>
  <c r="A23" i="51" l="1"/>
  <c r="C20" i="31"/>
  <c r="A19" i="31"/>
  <c r="A371" i="51"/>
  <c r="C30" i="33"/>
  <c r="A29" i="33"/>
  <c r="C31" i="33" l="1"/>
  <c r="A30" i="33"/>
  <c r="A24" i="51"/>
  <c r="C21" i="31"/>
  <c r="A20" i="31"/>
  <c r="A372" i="51"/>
  <c r="A373" i="51" s="1"/>
  <c r="A374" i="51" l="1"/>
  <c r="A25" i="51"/>
  <c r="C22" i="31"/>
  <c r="A21" i="31"/>
  <c r="C32" i="33"/>
  <c r="A31" i="33"/>
  <c r="A375" i="51" l="1"/>
  <c r="C23" i="31"/>
  <c r="A22" i="31"/>
  <c r="C33" i="33"/>
  <c r="A32" i="33"/>
  <c r="A26" i="51"/>
  <c r="C24" i="31" l="1"/>
  <c r="A23" i="31"/>
  <c r="C34" i="33"/>
  <c r="A33" i="33"/>
  <c r="A376" i="51"/>
  <c r="A27" i="51"/>
  <c r="A28" i="51" l="1"/>
  <c r="C35" i="33"/>
  <c r="A34" i="33"/>
  <c r="A377" i="51"/>
  <c r="C25" i="31"/>
  <c r="A24" i="31"/>
  <c r="C26" i="31" l="1"/>
  <c r="A25" i="31"/>
  <c r="C36" i="33"/>
  <c r="A35" i="33"/>
  <c r="A378" i="51"/>
  <c r="A29" i="51"/>
  <c r="C37" i="33" l="1"/>
  <c r="A36" i="33"/>
  <c r="A379" i="51"/>
  <c r="A380" i="51" s="1"/>
  <c r="A30" i="51"/>
  <c r="C27" i="31"/>
  <c r="A26" i="31"/>
  <c r="A381" i="51" l="1"/>
  <c r="A31" i="51"/>
  <c r="C38" i="33"/>
  <c r="A37" i="33"/>
  <c r="A27" i="31"/>
  <c r="C28" i="31"/>
  <c r="C29" i="31" l="1"/>
  <c r="A28" i="31"/>
  <c r="C39" i="33"/>
  <c r="A38" i="33"/>
  <c r="A32" i="51"/>
  <c r="A382" i="51"/>
  <c r="A33" i="51" l="1"/>
  <c r="C40" i="33"/>
  <c r="A39" i="33"/>
  <c r="A383" i="51"/>
  <c r="A384" i="51" s="1"/>
  <c r="C30" i="31"/>
  <c r="A29" i="31"/>
  <c r="C31" i="31" l="1"/>
  <c r="A30" i="31"/>
  <c r="A385" i="51"/>
  <c r="C41" i="33"/>
  <c r="A40" i="33"/>
  <c r="A34" i="51"/>
  <c r="A35" i="51" l="1"/>
  <c r="A386" i="51"/>
  <c r="C42" i="33"/>
  <c r="A41" i="33"/>
  <c r="C32" i="31"/>
  <c r="A31" i="31"/>
  <c r="A387" i="51" l="1"/>
  <c r="A388" i="51" s="1"/>
  <c r="C43" i="33"/>
  <c r="A42" i="33"/>
  <c r="C33" i="31"/>
  <c r="A32" i="31"/>
  <c r="A36" i="51"/>
  <c r="A389" i="51" l="1"/>
  <c r="C44" i="33"/>
  <c r="A43" i="33"/>
  <c r="A33" i="31"/>
  <c r="C34" i="31"/>
  <c r="A37" i="51"/>
  <c r="C45" i="33" l="1"/>
  <c r="A44" i="33"/>
  <c r="C35" i="31"/>
  <c r="A34" i="31"/>
  <c r="A390" i="51"/>
  <c r="A391" i="51" s="1"/>
  <c r="A38" i="51"/>
  <c r="C36" i="31" l="1"/>
  <c r="A35" i="31"/>
  <c r="A39" i="51"/>
  <c r="A392" i="51"/>
  <c r="C46" i="33"/>
  <c r="A45" i="33"/>
  <c r="A40" i="51" l="1"/>
  <c r="A393" i="51"/>
  <c r="C47" i="33"/>
  <c r="A46" i="33"/>
  <c r="C37" i="31"/>
  <c r="A36" i="31"/>
  <c r="A394" i="51" l="1"/>
  <c r="A395" i="51" s="1"/>
  <c r="C48" i="33"/>
  <c r="A47" i="33"/>
  <c r="C38" i="31"/>
  <c r="A37" i="31"/>
  <c r="A41" i="51"/>
  <c r="C39" i="31" l="1"/>
  <c r="A38" i="31"/>
  <c r="A396" i="51"/>
  <c r="A42" i="51"/>
  <c r="C49" i="33"/>
  <c r="A48" i="33"/>
  <c r="C50" i="33" l="1"/>
  <c r="A49" i="33"/>
  <c r="A397" i="51"/>
  <c r="A43" i="51"/>
  <c r="C40" i="31"/>
  <c r="A39" i="31"/>
  <c r="A398" i="51" l="1"/>
  <c r="C41" i="31"/>
  <c r="A40" i="31"/>
  <c r="A44" i="51"/>
  <c r="C51" i="33"/>
  <c r="A50" i="33"/>
  <c r="C52" i="33" l="1"/>
  <c r="A51" i="33"/>
  <c r="C42" i="31"/>
  <c r="A41" i="31"/>
  <c r="A45" i="51"/>
  <c r="A399" i="51"/>
  <c r="A400" i="51" s="1"/>
  <c r="A401" i="51" l="1"/>
  <c r="C43" i="31"/>
  <c r="A42" i="31"/>
  <c r="A46" i="51"/>
  <c r="C53" i="33"/>
  <c r="A52" i="33"/>
  <c r="C54" i="33" l="1"/>
  <c r="A53" i="33"/>
  <c r="C44" i="31"/>
  <c r="A43" i="31"/>
  <c r="A47" i="51"/>
  <c r="A402" i="51"/>
  <c r="C45" i="31" l="1"/>
  <c r="A44" i="31"/>
  <c r="A403" i="51"/>
  <c r="A404" i="51" s="1"/>
  <c r="A48" i="51"/>
  <c r="C55" i="33"/>
  <c r="A54" i="33"/>
  <c r="C56" i="33" l="1"/>
  <c r="A55" i="33"/>
  <c r="A405" i="51"/>
  <c r="A49" i="51"/>
  <c r="C46" i="31"/>
  <c r="A45" i="31"/>
  <c r="C47" i="31" l="1"/>
  <c r="A46" i="31"/>
  <c r="A50" i="51"/>
  <c r="C57" i="33"/>
  <c r="A56" i="33"/>
  <c r="A406" i="51"/>
  <c r="A407" i="51" l="1"/>
  <c r="C58" i="33"/>
  <c r="A57" i="33"/>
  <c r="A51" i="51"/>
  <c r="C48" i="31"/>
  <c r="A47" i="31"/>
  <c r="C49" i="31" l="1"/>
  <c r="A48" i="31"/>
  <c r="C59" i="33"/>
  <c r="A58" i="33"/>
  <c r="A52" i="51"/>
  <c r="A408" i="51"/>
  <c r="A409" i="51" l="1"/>
  <c r="C60" i="33"/>
  <c r="A59" i="33"/>
  <c r="A53" i="51"/>
  <c r="A49" i="31"/>
  <c r="C50" i="31"/>
  <c r="C61" i="33" l="1"/>
  <c r="A60" i="33"/>
  <c r="C51" i="31"/>
  <c r="A50" i="31"/>
  <c r="A54" i="51"/>
  <c r="A410" i="51"/>
  <c r="C52" i="31" l="1"/>
  <c r="A51" i="31"/>
  <c r="A55" i="51"/>
  <c r="C62" i="33"/>
  <c r="A61" i="33"/>
  <c r="A411" i="51"/>
  <c r="C63" i="33" l="1"/>
  <c r="A62" i="33"/>
  <c r="A412" i="51"/>
  <c r="A56" i="51"/>
  <c r="C53" i="31"/>
  <c r="A52" i="31"/>
  <c r="A413" i="51" l="1"/>
  <c r="A414" i="51" s="1"/>
  <c r="C54" i="31"/>
  <c r="A53" i="31"/>
  <c r="A57" i="51"/>
  <c r="C64" i="33"/>
  <c r="A63" i="33"/>
  <c r="A64" i="33" l="1"/>
  <c r="C65" i="33"/>
  <c r="C55" i="31"/>
  <c r="A54" i="31"/>
  <c r="A58" i="51"/>
  <c r="A415" i="51"/>
  <c r="A416" i="51" l="1"/>
  <c r="C56" i="31"/>
  <c r="A55" i="31"/>
  <c r="C66" i="33"/>
  <c r="A65" i="33"/>
  <c r="A59" i="51"/>
  <c r="A60" i="51" l="1"/>
  <c r="C57" i="31"/>
  <c r="A56" i="31"/>
  <c r="C67" i="33"/>
  <c r="A66" i="33"/>
  <c r="A417" i="51"/>
  <c r="C68" i="33" l="1"/>
  <c r="A67" i="33"/>
  <c r="C58" i="31"/>
  <c r="A57" i="31"/>
  <c r="A418" i="51"/>
  <c r="A419" i="51" s="1"/>
  <c r="A61" i="51"/>
  <c r="A420" i="51" l="1"/>
  <c r="C69" i="33"/>
  <c r="A68" i="33"/>
  <c r="C59" i="31"/>
  <c r="A58" i="31"/>
  <c r="A62" i="51"/>
  <c r="C70" i="33" l="1"/>
  <c r="A69" i="33"/>
  <c r="A63" i="51"/>
  <c r="C60" i="31"/>
  <c r="A59" i="31"/>
  <c r="A421" i="51"/>
  <c r="A422" i="51" l="1"/>
  <c r="A423" i="51" s="1"/>
  <c r="A64" i="51"/>
  <c r="C61" i="31"/>
  <c r="A60" i="31"/>
  <c r="C71" i="33"/>
  <c r="A70" i="33"/>
  <c r="C62" i="31" l="1"/>
  <c r="A61" i="31"/>
  <c r="C72" i="33"/>
  <c r="A71" i="33"/>
  <c r="A65" i="51"/>
  <c r="A424" i="51"/>
  <c r="A66" i="51" l="1"/>
  <c r="C63" i="31"/>
  <c r="A62" i="31"/>
  <c r="A425" i="51"/>
  <c r="C73" i="33"/>
  <c r="A72" i="33"/>
  <c r="C64" i="31" l="1"/>
  <c r="A63" i="31"/>
  <c r="A426" i="51"/>
  <c r="C74" i="33"/>
  <c r="A73" i="33"/>
  <c r="A67" i="51"/>
  <c r="A68" i="51" l="1"/>
  <c r="A427" i="51"/>
  <c r="A428" i="51" s="1"/>
  <c r="C75" i="33"/>
  <c r="A74" i="33"/>
  <c r="C65" i="31"/>
  <c r="A64" i="31"/>
  <c r="C76" i="33" l="1"/>
  <c r="A75" i="33"/>
  <c r="A69" i="51"/>
  <c r="C66" i="31"/>
  <c r="A65" i="31"/>
  <c r="A429" i="51"/>
  <c r="C67" i="31" l="1"/>
  <c r="A66" i="31"/>
  <c r="A430" i="51"/>
  <c r="C77" i="33"/>
  <c r="A76" i="33"/>
  <c r="A70" i="51"/>
  <c r="C78" i="33" l="1"/>
  <c r="A77" i="33"/>
  <c r="C68" i="31"/>
  <c r="A67" i="31"/>
  <c r="A71" i="51"/>
  <c r="A431" i="51"/>
  <c r="A432" i="51" s="1"/>
  <c r="A72" i="51" l="1"/>
  <c r="C79" i="33"/>
  <c r="A78" i="33"/>
  <c r="A433" i="51"/>
  <c r="C69" i="31"/>
  <c r="A68" i="31"/>
  <c r="C70" i="31" l="1"/>
  <c r="A69" i="31"/>
  <c r="C80" i="33"/>
  <c r="A79" i="33"/>
  <c r="A434" i="51"/>
  <c r="A73" i="51"/>
  <c r="A435" i="51" l="1"/>
  <c r="A436" i="51" s="1"/>
  <c r="A80" i="33"/>
  <c r="C81" i="33"/>
  <c r="C71" i="31"/>
  <c r="A70" i="31"/>
  <c r="A74" i="51"/>
  <c r="A75" i="51" l="1"/>
  <c r="C82" i="33"/>
  <c r="A81" i="33"/>
  <c r="C72" i="31"/>
  <c r="A71" i="31"/>
  <c r="A437" i="51"/>
  <c r="C73" i="31" l="1"/>
  <c r="A72" i="31"/>
  <c r="C83" i="33"/>
  <c r="A82" i="33"/>
  <c r="A438" i="51"/>
  <c r="A439" i="51" s="1"/>
  <c r="A76" i="51"/>
  <c r="A77" i="51" l="1"/>
  <c r="C84" i="33"/>
  <c r="A83" i="33"/>
  <c r="A440" i="51"/>
  <c r="C74" i="31"/>
  <c r="A73" i="31"/>
  <c r="A441" i="51" l="1"/>
  <c r="C75" i="31"/>
  <c r="A74" i="31"/>
  <c r="C85" i="33"/>
  <c r="A84" i="33"/>
  <c r="A78" i="51"/>
  <c r="A75" i="31" l="1"/>
  <c r="C76" i="31"/>
  <c r="C86" i="33"/>
  <c r="A85" i="33"/>
  <c r="A442" i="51"/>
  <c r="A443" i="51" s="1"/>
  <c r="A79" i="51"/>
  <c r="C77" i="31" l="1"/>
  <c r="A76" i="31"/>
  <c r="A444" i="51"/>
  <c r="A80" i="51"/>
  <c r="C87" i="33"/>
  <c r="A86" i="33"/>
  <c r="C88" i="33" l="1"/>
  <c r="A87" i="33"/>
  <c r="A445" i="51"/>
  <c r="A81" i="51"/>
  <c r="C78" i="31"/>
  <c r="A77" i="31"/>
  <c r="A82" i="51" l="1"/>
  <c r="C89" i="33"/>
  <c r="A88" i="33"/>
  <c r="C79" i="31"/>
  <c r="A78" i="31"/>
  <c r="A446" i="51"/>
  <c r="A447" i="51" s="1"/>
  <c r="A448" i="51" l="1"/>
  <c r="C80" i="31"/>
  <c r="A79" i="31"/>
  <c r="A83" i="51"/>
  <c r="C90" i="33"/>
  <c r="A89" i="33"/>
  <c r="C91" i="33" l="1"/>
  <c r="A90" i="33"/>
  <c r="C81" i="31"/>
  <c r="A80" i="31"/>
  <c r="A84" i="51"/>
  <c r="A449" i="51"/>
  <c r="A450" i="51" s="1"/>
  <c r="A451" i="51" l="1"/>
  <c r="C82" i="31"/>
  <c r="A81" i="31"/>
  <c r="A85" i="51"/>
  <c r="C92" i="33"/>
  <c r="A91" i="33"/>
  <c r="C93" i="33" l="1"/>
  <c r="A92" i="33"/>
  <c r="C83" i="31"/>
  <c r="A82" i="31"/>
  <c r="A86" i="51"/>
  <c r="A452" i="51"/>
  <c r="A453" i="51" s="1"/>
  <c r="A454" i="51" l="1"/>
  <c r="C84" i="31"/>
  <c r="A83" i="31"/>
  <c r="A87" i="51"/>
  <c r="C94" i="33"/>
  <c r="A93" i="33"/>
  <c r="A88" i="51" l="1"/>
  <c r="C95" i="33"/>
  <c r="A94" i="33"/>
  <c r="C85" i="31"/>
  <c r="A84" i="31"/>
  <c r="A455" i="51"/>
  <c r="A456" i="51" s="1"/>
  <c r="C96" i="33" l="1"/>
  <c r="A95" i="33"/>
  <c r="A457" i="51"/>
  <c r="C86" i="31"/>
  <c r="A85" i="31"/>
  <c r="A89" i="51"/>
  <c r="C87" i="31" l="1"/>
  <c r="A86" i="31"/>
  <c r="C97" i="33"/>
  <c r="A96" i="33"/>
  <c r="A90" i="51"/>
  <c r="A458" i="51"/>
  <c r="A91" i="51" l="1"/>
  <c r="A459" i="51"/>
  <c r="A460" i="51" s="1"/>
  <c r="C88" i="31"/>
  <c r="A87" i="31"/>
  <c r="C98" i="33"/>
  <c r="A97" i="33"/>
  <c r="C99" i="33" l="1"/>
  <c r="A98" i="33"/>
  <c r="A461" i="51"/>
  <c r="C89" i="31"/>
  <c r="A88" i="31"/>
  <c r="A92" i="51"/>
  <c r="C90" i="31" l="1"/>
  <c r="A89" i="31"/>
  <c r="A93" i="51"/>
  <c r="A462" i="51"/>
  <c r="A463" i="51" s="1"/>
  <c r="C100" i="33"/>
  <c r="A99" i="33"/>
  <c r="A464" i="51" l="1"/>
  <c r="A94" i="51"/>
  <c r="C101" i="33"/>
  <c r="A100" i="33"/>
  <c r="C91" i="31"/>
  <c r="A90" i="31"/>
  <c r="A91" i="31" l="1"/>
  <c r="C92" i="31"/>
  <c r="A95" i="51"/>
  <c r="C102" i="33"/>
  <c r="A101" i="33"/>
  <c r="A465" i="51"/>
  <c r="A96" i="51" l="1"/>
  <c r="C103" i="33"/>
  <c r="A102" i="33"/>
  <c r="C93" i="31"/>
  <c r="A92" i="31"/>
  <c r="A466" i="51"/>
  <c r="A467" i="51" s="1"/>
  <c r="C94" i="31" l="1"/>
  <c r="A93" i="31"/>
  <c r="A468" i="51"/>
  <c r="C104" i="33"/>
  <c r="A103" i="33"/>
  <c r="A97" i="51"/>
  <c r="A98" i="51" l="1"/>
  <c r="A469" i="51"/>
  <c r="C105" i="33"/>
  <c r="A104" i="33"/>
  <c r="C95" i="31"/>
  <c r="A94" i="31"/>
  <c r="C106" i="33" l="1"/>
  <c r="A105" i="33"/>
  <c r="A470" i="51"/>
  <c r="C96" i="31"/>
  <c r="A95" i="31"/>
  <c r="A99" i="51"/>
  <c r="A471" i="51" l="1"/>
  <c r="A472" i="51" s="1"/>
  <c r="C97" i="31"/>
  <c r="A96" i="31"/>
  <c r="C107" i="33"/>
  <c r="A106" i="33"/>
  <c r="A100" i="51"/>
  <c r="C108" i="33" l="1"/>
  <c r="A107" i="33"/>
  <c r="A473" i="51"/>
  <c r="A101" i="51"/>
  <c r="A97" i="31"/>
  <c r="C98" i="31"/>
  <c r="C99" i="31" l="1"/>
  <c r="A98" i="31"/>
  <c r="C109" i="33"/>
  <c r="A108" i="33"/>
  <c r="A474" i="51"/>
  <c r="A102" i="51"/>
  <c r="C100" i="31" l="1"/>
  <c r="A99" i="31"/>
  <c r="C110" i="33"/>
  <c r="A109" i="33"/>
  <c r="A475" i="51"/>
  <c r="A103" i="51"/>
  <c r="A476" i="51" l="1"/>
  <c r="A477" i="51" s="1"/>
  <c r="C101" i="31"/>
  <c r="A100" i="31"/>
  <c r="A104" i="51"/>
  <c r="C111" i="33"/>
  <c r="A110" i="33"/>
  <c r="A105" i="51" l="1"/>
  <c r="C112" i="33"/>
  <c r="A111" i="33"/>
  <c r="C102" i="31"/>
  <c r="A101" i="31"/>
  <c r="A478" i="51"/>
  <c r="C113" i="33" l="1"/>
  <c r="A112" i="33"/>
  <c r="A479" i="51"/>
  <c r="C103" i="31"/>
  <c r="A102" i="31"/>
  <c r="A106" i="51"/>
  <c r="C104" i="31" l="1"/>
  <c r="A103" i="31"/>
  <c r="C114" i="33"/>
  <c r="A113" i="33"/>
  <c r="A107" i="51"/>
  <c r="A480" i="51"/>
  <c r="A481" i="51" l="1"/>
  <c r="A482" i="51" s="1"/>
  <c r="C115" i="33"/>
  <c r="A114" i="33"/>
  <c r="A108" i="51"/>
  <c r="C105" i="31"/>
  <c r="A104" i="31"/>
  <c r="C116" i="33" l="1"/>
  <c r="A115" i="33"/>
  <c r="C106" i="31"/>
  <c r="A105" i="31"/>
  <c r="A109" i="51"/>
  <c r="A483" i="51"/>
  <c r="C107" i="31" l="1"/>
  <c r="A106" i="31"/>
  <c r="A484" i="51"/>
  <c r="A110" i="51"/>
  <c r="C117" i="33"/>
  <c r="A116" i="33"/>
  <c r="C118" i="33" l="1"/>
  <c r="A117" i="33"/>
  <c r="A111" i="51"/>
  <c r="A485" i="51"/>
  <c r="A486" i="51" s="1"/>
  <c r="C108" i="31"/>
  <c r="A107" i="31"/>
  <c r="C109" i="31" l="1"/>
  <c r="A108" i="31"/>
  <c r="A112" i="51"/>
  <c r="A487" i="51"/>
  <c r="C119" i="33"/>
  <c r="A118" i="33"/>
  <c r="A113" i="51" l="1"/>
  <c r="C120" i="33"/>
  <c r="A119" i="33"/>
  <c r="C362" i="51"/>
  <c r="C359" i="51"/>
  <c r="C355" i="51"/>
  <c r="C354" i="51"/>
  <c r="C356" i="51"/>
  <c r="C358" i="51"/>
  <c r="C360" i="51"/>
  <c r="C361" i="51"/>
  <c r="C364" i="51"/>
  <c r="C365" i="51"/>
  <c r="C366" i="51"/>
  <c r="C367" i="51"/>
  <c r="C368" i="51"/>
  <c r="C370" i="51"/>
  <c r="C371" i="51"/>
  <c r="C373" i="51"/>
  <c r="C374" i="51"/>
  <c r="C375" i="51"/>
  <c r="C376" i="51"/>
  <c r="C377" i="51"/>
  <c r="C378" i="51"/>
  <c r="C380" i="51"/>
  <c r="C381" i="51"/>
  <c r="C382" i="51"/>
  <c r="C384" i="51"/>
  <c r="C385" i="51"/>
  <c r="C386" i="51"/>
  <c r="C388" i="51"/>
  <c r="C389" i="51"/>
  <c r="C391" i="51"/>
  <c r="C392" i="51"/>
  <c r="C393" i="51"/>
  <c r="C395" i="51"/>
  <c r="C396" i="51"/>
  <c r="C397" i="51"/>
  <c r="C398" i="51"/>
  <c r="C400" i="51"/>
  <c r="C401" i="51"/>
  <c r="C402" i="51"/>
  <c r="C404" i="51"/>
  <c r="C405" i="51"/>
  <c r="C406" i="51"/>
  <c r="C407" i="51"/>
  <c r="C408" i="51"/>
  <c r="C409" i="51"/>
  <c r="C410" i="51"/>
  <c r="C411" i="51"/>
  <c r="C412" i="51"/>
  <c r="C414" i="51"/>
  <c r="C415" i="51"/>
  <c r="C416" i="51"/>
  <c r="C417" i="51"/>
  <c r="C419" i="51"/>
  <c r="C420" i="51"/>
  <c r="C421" i="51"/>
  <c r="C423" i="51"/>
  <c r="C424" i="51"/>
  <c r="C425" i="51"/>
  <c r="C426" i="51"/>
  <c r="C428" i="51"/>
  <c r="C429" i="51"/>
  <c r="C430" i="51"/>
  <c r="C432" i="51"/>
  <c r="C433" i="51"/>
  <c r="C434" i="51"/>
  <c r="C436" i="51"/>
  <c r="C437" i="51"/>
  <c r="C439" i="51"/>
  <c r="C440" i="51"/>
  <c r="C441" i="51"/>
  <c r="C443" i="51"/>
  <c r="C444" i="51"/>
  <c r="C445" i="51"/>
  <c r="C447" i="51"/>
  <c r="C448" i="51"/>
  <c r="C450" i="51"/>
  <c r="C451" i="51"/>
  <c r="C453" i="51"/>
  <c r="C454" i="51"/>
  <c r="C456" i="51"/>
  <c r="C457" i="51"/>
  <c r="C458" i="51"/>
  <c r="C460" i="51"/>
  <c r="C461" i="51"/>
  <c r="C463" i="51"/>
  <c r="C464" i="51"/>
  <c r="C465" i="51"/>
  <c r="C467" i="51"/>
  <c r="C468" i="51"/>
  <c r="C469" i="51"/>
  <c r="A488" i="51"/>
  <c r="A489" i="51" s="1"/>
  <c r="C110" i="31"/>
  <c r="A109" i="31"/>
  <c r="C111" i="31" l="1"/>
  <c r="A110" i="31"/>
  <c r="A490" i="51"/>
  <c r="C121" i="33"/>
  <c r="A120" i="33"/>
  <c r="A114" i="51"/>
  <c r="C122" i="33" l="1"/>
  <c r="A121" i="33"/>
  <c r="C112" i="31"/>
  <c r="A111" i="31"/>
  <c r="A491" i="51"/>
  <c r="A115" i="51"/>
  <c r="C123" i="33" l="1"/>
  <c r="A122" i="33"/>
  <c r="A492" i="51"/>
  <c r="A116" i="51"/>
  <c r="C113" i="31"/>
  <c r="A112" i="31"/>
  <c r="A113" i="31" l="1"/>
  <c r="C114" i="31"/>
  <c r="A493" i="51"/>
  <c r="A494" i="51" s="1"/>
  <c r="A117" i="51"/>
  <c r="C124" i="33"/>
  <c r="A123" i="33"/>
  <c r="A495" i="51" l="1"/>
  <c r="A118" i="51"/>
  <c r="C115" i="31"/>
  <c r="A114" i="31"/>
  <c r="C125" i="33"/>
  <c r="A124" i="33"/>
  <c r="C116" i="31" l="1"/>
  <c r="A115" i="31"/>
  <c r="C126" i="33"/>
  <c r="A125" i="33"/>
  <c r="A119" i="51"/>
  <c r="A496" i="51"/>
  <c r="C127" i="33" l="1"/>
  <c r="A126" i="33"/>
  <c r="A497" i="51"/>
  <c r="A120" i="51"/>
  <c r="C117" i="31"/>
  <c r="A116" i="31"/>
  <c r="C118" i="31" l="1"/>
  <c r="A117" i="31"/>
  <c r="A498" i="51"/>
  <c r="A499" i="51" s="1"/>
  <c r="A121" i="51"/>
  <c r="C128" i="33"/>
  <c r="A127" i="33"/>
  <c r="C129" i="33" l="1"/>
  <c r="A128" i="33"/>
  <c r="A500" i="51"/>
  <c r="A122" i="51"/>
  <c r="A118" i="31"/>
  <c r="C119" i="31"/>
  <c r="A123" i="51" l="1"/>
  <c r="A501" i="51"/>
  <c r="C120" i="31"/>
  <c r="A119" i="31"/>
  <c r="C130" i="33"/>
  <c r="A129" i="33"/>
  <c r="A502" i="51" l="1"/>
  <c r="A124" i="51"/>
  <c r="C131" i="33"/>
  <c r="A130" i="33"/>
  <c r="C121" i="31"/>
  <c r="A120" i="31"/>
  <c r="C132" i="33" l="1"/>
  <c r="A131" i="33"/>
  <c r="C122" i="31"/>
  <c r="A121" i="31"/>
  <c r="A125" i="51"/>
  <c r="A503" i="51"/>
  <c r="A126" i="51" l="1"/>
  <c r="C133" i="33"/>
  <c r="A132" i="33"/>
  <c r="A504" i="51"/>
  <c r="A505" i="51" s="1"/>
  <c r="C123" i="31"/>
  <c r="A122" i="31"/>
  <c r="A133" i="33" l="1"/>
  <c r="C134" i="33"/>
  <c r="A506" i="51"/>
  <c r="A127" i="51"/>
  <c r="C124" i="31"/>
  <c r="A123" i="31"/>
  <c r="A128" i="51" l="1"/>
  <c r="C135" i="33"/>
  <c r="A134" i="33"/>
  <c r="C125" i="31"/>
  <c r="A124" i="31"/>
  <c r="A507" i="51"/>
  <c r="C126" i="31" l="1"/>
  <c r="A125" i="31"/>
  <c r="C136" i="33"/>
  <c r="A135" i="33"/>
  <c r="A508" i="51"/>
  <c r="A509" i="51" s="1"/>
  <c r="A129" i="51"/>
  <c r="A510" i="51" l="1"/>
  <c r="C127" i="31"/>
  <c r="A126" i="31"/>
  <c r="C137" i="33"/>
  <c r="A136" i="33"/>
  <c r="A130" i="51"/>
  <c r="A131" i="51" l="1"/>
  <c r="C128" i="31"/>
  <c r="A127" i="31"/>
  <c r="C138" i="33"/>
  <c r="A137" i="33"/>
  <c r="A511" i="51"/>
  <c r="C129" i="31" l="1"/>
  <c r="A128" i="31"/>
  <c r="A512" i="51"/>
  <c r="A513" i="51" s="1"/>
  <c r="C139" i="33"/>
  <c r="A138" i="33"/>
  <c r="A132" i="51"/>
  <c r="C130" i="31" l="1"/>
  <c r="A129" i="31"/>
  <c r="C408" i="48"/>
  <c r="C402" i="48"/>
  <c r="C397" i="48"/>
  <c r="C392" i="48"/>
  <c r="C387" i="48"/>
  <c r="C382" i="48"/>
  <c r="C376" i="48"/>
  <c r="C370" i="48"/>
  <c r="C365" i="48"/>
  <c r="C359" i="48"/>
  <c r="C354" i="48"/>
  <c r="C348" i="48"/>
  <c r="C343" i="48"/>
  <c r="C338" i="48"/>
  <c r="C333" i="48"/>
  <c r="C329" i="48"/>
  <c r="C323" i="48"/>
  <c r="C318" i="48"/>
  <c r="C406" i="48"/>
  <c r="C401" i="48"/>
  <c r="C396" i="48"/>
  <c r="C391" i="48"/>
  <c r="C386" i="48"/>
  <c r="C380" i="48"/>
  <c r="C375" i="48"/>
  <c r="C369" i="48"/>
  <c r="C363" i="48"/>
  <c r="C358" i="48"/>
  <c r="C352" i="48"/>
  <c r="C347" i="48"/>
  <c r="C342" i="48"/>
  <c r="C337" i="48"/>
  <c r="C332" i="48"/>
  <c r="C327" i="48"/>
  <c r="C322" i="48"/>
  <c r="C317" i="48"/>
  <c r="C311" i="48"/>
  <c r="C306" i="48"/>
  <c r="C300" i="48"/>
  <c r="C296" i="48"/>
  <c r="C290" i="48"/>
  <c r="C286" i="48"/>
  <c r="C281" i="48"/>
  <c r="C276" i="48"/>
  <c r="C405" i="48"/>
  <c r="C395" i="48"/>
  <c r="C385" i="48"/>
  <c r="C373" i="48"/>
  <c r="C362" i="48"/>
  <c r="C351" i="48"/>
  <c r="C341" i="48"/>
  <c r="C331" i="48"/>
  <c r="C320" i="48"/>
  <c r="C313" i="48"/>
  <c r="C304" i="48"/>
  <c r="C298" i="48"/>
  <c r="C292" i="48"/>
  <c r="C284" i="48"/>
  <c r="C278" i="48"/>
  <c r="C404" i="48"/>
  <c r="C394" i="48"/>
  <c r="C383" i="48"/>
  <c r="C372" i="48"/>
  <c r="C361" i="48"/>
  <c r="C350" i="48"/>
  <c r="C339" i="48"/>
  <c r="C330" i="48"/>
  <c r="C319" i="48"/>
  <c r="C310" i="48"/>
  <c r="C303" i="48"/>
  <c r="C297" i="48"/>
  <c r="C289" i="48"/>
  <c r="C283" i="48"/>
  <c r="C277" i="48"/>
  <c r="C400" i="48"/>
  <c r="C390" i="48"/>
  <c r="C379" i="48"/>
  <c r="C367" i="48"/>
  <c r="C356" i="48"/>
  <c r="C346" i="48"/>
  <c r="C336" i="48"/>
  <c r="C326" i="48"/>
  <c r="C315" i="48"/>
  <c r="C308" i="48"/>
  <c r="C302" i="48"/>
  <c r="C295" i="48"/>
  <c r="C288" i="48"/>
  <c r="C282" i="48"/>
  <c r="C409" i="48"/>
  <c r="C399" i="48"/>
  <c r="C389" i="48"/>
  <c r="C378" i="48"/>
  <c r="C366" i="48"/>
  <c r="C355" i="48"/>
  <c r="C345" i="48"/>
  <c r="C334" i="48"/>
  <c r="C324" i="48"/>
  <c r="C314" i="48"/>
  <c r="C307" i="48"/>
  <c r="C299" i="48"/>
  <c r="C293" i="48"/>
  <c r="C287" i="48"/>
  <c r="C280" i="48"/>
  <c r="C140" i="33"/>
  <c r="A139" i="33"/>
  <c r="A133" i="51"/>
  <c r="A514" i="51"/>
  <c r="C141" i="33" l="1"/>
  <c r="A140" i="33"/>
  <c r="A134" i="51"/>
  <c r="C131" i="31"/>
  <c r="A130" i="31"/>
  <c r="A515" i="51"/>
  <c r="C132" i="31" l="1"/>
  <c r="A131" i="31"/>
  <c r="C142" i="33"/>
  <c r="A141" i="33"/>
  <c r="A516" i="51"/>
  <c r="A135" i="51"/>
  <c r="C133" i="31" l="1"/>
  <c r="A132" i="31"/>
  <c r="A517" i="51"/>
  <c r="A518" i="51" s="1"/>
  <c r="A136" i="51"/>
  <c r="A142" i="33"/>
  <c r="C143" i="33"/>
  <c r="A137" i="51" l="1"/>
  <c r="C134" i="31"/>
  <c r="A133" i="31"/>
  <c r="C144" i="33"/>
  <c r="A143" i="33"/>
  <c r="A519" i="51"/>
  <c r="C135" i="31" l="1"/>
  <c r="A134" i="31"/>
  <c r="A144" i="33"/>
  <c r="C145" i="33"/>
  <c r="A138" i="51"/>
  <c r="A520" i="51"/>
  <c r="C146" i="33" l="1"/>
  <c r="A145" i="33"/>
  <c r="A521" i="51"/>
  <c r="A139" i="51"/>
  <c r="C136" i="31"/>
  <c r="A135" i="31"/>
  <c r="A140" i="51" l="1"/>
  <c r="A146" i="33"/>
  <c r="C147" i="33"/>
  <c r="C137" i="31"/>
  <c r="A136" i="31"/>
  <c r="A522" i="51"/>
  <c r="A523" i="51" s="1"/>
  <c r="C148" i="33" l="1"/>
  <c r="A147" i="33"/>
  <c r="C138" i="31"/>
  <c r="A137" i="31"/>
  <c r="A524" i="51"/>
  <c r="A141" i="51"/>
  <c r="C149" i="33" l="1"/>
  <c r="A148" i="33"/>
  <c r="A525" i="51"/>
  <c r="A142" i="51"/>
  <c r="C139" i="31"/>
  <c r="C12" i="51"/>
  <c r="C8" i="51"/>
  <c r="C4" i="51"/>
  <c r="C15" i="51"/>
  <c r="C11" i="51"/>
  <c r="C7" i="51"/>
  <c r="C14" i="51"/>
  <c r="C10" i="51"/>
  <c r="C6" i="51"/>
  <c r="C13" i="51"/>
  <c r="C9" i="51"/>
  <c r="A138" i="31"/>
  <c r="C5" i="51"/>
  <c r="C16" i="51"/>
  <c r="C17" i="51"/>
  <c r="C18" i="51"/>
  <c r="C19" i="51"/>
  <c r="C20" i="51"/>
  <c r="C21" i="51"/>
  <c r="C22" i="51"/>
  <c r="C23" i="51"/>
  <c r="C24" i="51"/>
  <c r="C25" i="51"/>
  <c r="C26" i="51"/>
  <c r="C27" i="51"/>
  <c r="C28" i="51"/>
  <c r="C29" i="51"/>
  <c r="C30" i="51"/>
  <c r="C31" i="51"/>
  <c r="C32" i="51"/>
  <c r="C33" i="51"/>
  <c r="C34" i="51"/>
  <c r="C35" i="51"/>
  <c r="C36" i="51"/>
  <c r="C37" i="51"/>
  <c r="C38" i="51"/>
  <c r="C39" i="51"/>
  <c r="C40" i="51"/>
  <c r="C41" i="51"/>
  <c r="C42" i="51"/>
  <c r="C43" i="51"/>
  <c r="C44" i="51"/>
  <c r="C45" i="51"/>
  <c r="C46" i="51"/>
  <c r="C47" i="51"/>
  <c r="C48" i="51"/>
  <c r="C49" i="51"/>
  <c r="C50" i="51"/>
  <c r="C51" i="51"/>
  <c r="C52" i="51"/>
  <c r="C53" i="51"/>
  <c r="C54" i="51"/>
  <c r="C55" i="51"/>
  <c r="C56" i="51"/>
  <c r="C57" i="51"/>
  <c r="C58" i="51"/>
  <c r="C59" i="51"/>
  <c r="C60" i="51"/>
  <c r="C61" i="51"/>
  <c r="C62" i="51"/>
  <c r="C63" i="51"/>
  <c r="C64" i="51"/>
  <c r="C65" i="51"/>
  <c r="C66" i="51"/>
  <c r="C67" i="51"/>
  <c r="C68" i="51"/>
  <c r="C69" i="51"/>
  <c r="C70" i="51"/>
  <c r="C71" i="51"/>
  <c r="C72" i="51"/>
  <c r="C73" i="51"/>
  <c r="C74" i="51"/>
  <c r="C75" i="51"/>
  <c r="C76" i="51"/>
  <c r="C77" i="51"/>
  <c r="C78" i="51"/>
  <c r="C79" i="51"/>
  <c r="C80" i="51"/>
  <c r="C81" i="51"/>
  <c r="C82" i="51"/>
  <c r="C83" i="51"/>
  <c r="C84" i="51"/>
  <c r="C85" i="51"/>
  <c r="C86" i="51"/>
  <c r="C87" i="51"/>
  <c r="C88" i="51"/>
  <c r="C89" i="51"/>
  <c r="C90" i="51"/>
  <c r="C91" i="51"/>
  <c r="C92" i="51"/>
  <c r="C93" i="51"/>
  <c r="C94" i="51"/>
  <c r="C95" i="51"/>
  <c r="C96" i="51"/>
  <c r="C97" i="51"/>
  <c r="C98" i="51"/>
  <c r="C99" i="51"/>
  <c r="C100" i="51"/>
  <c r="C101" i="51"/>
  <c r="C102" i="51"/>
  <c r="C103" i="51"/>
  <c r="C104" i="51"/>
  <c r="C105" i="51"/>
  <c r="C106" i="51"/>
  <c r="C107" i="51"/>
  <c r="C108" i="51"/>
  <c r="C109" i="51"/>
  <c r="C110" i="51"/>
  <c r="C111" i="51"/>
  <c r="C112" i="51"/>
  <c r="C113" i="51"/>
  <c r="C114" i="51"/>
  <c r="C115" i="51"/>
  <c r="C116" i="51"/>
  <c r="C117" i="51"/>
  <c r="C118" i="51"/>
  <c r="C119" i="51"/>
  <c r="C120" i="51"/>
  <c r="C121" i="51"/>
  <c r="C122" i="51"/>
  <c r="C123" i="51"/>
  <c r="C124" i="51"/>
  <c r="C125" i="51"/>
  <c r="C126" i="51"/>
  <c r="C127" i="51"/>
  <c r="C128" i="51"/>
  <c r="C129" i="51"/>
  <c r="C130" i="51"/>
  <c r="C131" i="51"/>
  <c r="C132" i="51"/>
  <c r="C133" i="51"/>
  <c r="C134" i="51"/>
  <c r="C135" i="51"/>
  <c r="C136" i="51"/>
  <c r="C137" i="51"/>
  <c r="C138" i="51"/>
  <c r="A143" i="51" l="1"/>
  <c r="A526" i="51"/>
  <c r="A527" i="51" s="1"/>
  <c r="C137" i="48"/>
  <c r="C133" i="48"/>
  <c r="C129" i="48"/>
  <c r="C125" i="48"/>
  <c r="C121" i="48"/>
  <c r="C117" i="48"/>
  <c r="C113" i="48"/>
  <c r="C109" i="48"/>
  <c r="C105" i="48"/>
  <c r="C101" i="48"/>
  <c r="C97" i="48"/>
  <c r="C93" i="48"/>
  <c r="C89" i="48"/>
  <c r="C85" i="48"/>
  <c r="C81" i="48"/>
  <c r="C77" i="48"/>
  <c r="C73" i="48"/>
  <c r="C69" i="48"/>
  <c r="C65" i="48"/>
  <c r="C61" i="48"/>
  <c r="C57" i="48"/>
  <c r="C53" i="48"/>
  <c r="C49" i="48"/>
  <c r="C45" i="48"/>
  <c r="C41" i="48"/>
  <c r="C37" i="48"/>
  <c r="C33" i="48"/>
  <c r="C29" i="48"/>
  <c r="C25" i="48"/>
  <c r="C21" i="48"/>
  <c r="C17" i="48"/>
  <c r="C13" i="48"/>
  <c r="C9" i="48"/>
  <c r="C5" i="48"/>
  <c r="C136" i="48"/>
  <c r="C132" i="48"/>
  <c r="C128" i="48"/>
  <c r="C124" i="48"/>
  <c r="C120" i="48"/>
  <c r="C116" i="48"/>
  <c r="C112" i="48"/>
  <c r="C108" i="48"/>
  <c r="C104" i="48"/>
  <c r="C100" i="48"/>
  <c r="C96" i="48"/>
  <c r="C92" i="48"/>
  <c r="C88" i="48"/>
  <c r="C84" i="48"/>
  <c r="C80" i="48"/>
  <c r="C76" i="48"/>
  <c r="C72" i="48"/>
  <c r="C68" i="48"/>
  <c r="C64" i="48"/>
  <c r="C60" i="48"/>
  <c r="C56" i="48"/>
  <c r="C52" i="48"/>
  <c r="C48" i="48"/>
  <c r="C44" i="48"/>
  <c r="C40" i="48"/>
  <c r="C36" i="48"/>
  <c r="C32" i="48"/>
  <c r="C28" i="48"/>
  <c r="C24" i="48"/>
  <c r="C20" i="48"/>
  <c r="C16" i="48"/>
  <c r="C12" i="48"/>
  <c r="C8" i="48"/>
  <c r="C4" i="48"/>
  <c r="C135" i="48"/>
  <c r="C131" i="48"/>
  <c r="C127" i="48"/>
  <c r="C123" i="48"/>
  <c r="C119" i="48"/>
  <c r="C115" i="48"/>
  <c r="C111" i="48"/>
  <c r="C107" i="48"/>
  <c r="C103" i="48"/>
  <c r="C99" i="48"/>
  <c r="C95" i="48"/>
  <c r="C91" i="48"/>
  <c r="C87" i="48"/>
  <c r="C83" i="48"/>
  <c r="C79" i="48"/>
  <c r="C75" i="48"/>
  <c r="C71" i="48"/>
  <c r="C67" i="48"/>
  <c r="C63" i="48"/>
  <c r="C59" i="48"/>
  <c r="C55" i="48"/>
  <c r="C51" i="48"/>
  <c r="C47" i="48"/>
  <c r="C43" i="48"/>
  <c r="C39" i="48"/>
  <c r="C35" i="48"/>
  <c r="C31" i="48"/>
  <c r="C27" i="48"/>
  <c r="C23" i="48"/>
  <c r="C19" i="48"/>
  <c r="C15" i="48"/>
  <c r="C11" i="48"/>
  <c r="C7" i="48"/>
  <c r="C130" i="48"/>
  <c r="C114" i="48"/>
  <c r="C98" i="48"/>
  <c r="C82" i="48"/>
  <c r="C66" i="48"/>
  <c r="C50" i="48"/>
  <c r="C34" i="48"/>
  <c r="C18" i="48"/>
  <c r="C126" i="48"/>
  <c r="C110" i="48"/>
  <c r="C94" i="48"/>
  <c r="C78" i="48"/>
  <c r="C62" i="48"/>
  <c r="C46" i="48"/>
  <c r="C30" i="48"/>
  <c r="C14" i="48"/>
  <c r="C122" i="48"/>
  <c r="C106" i="48"/>
  <c r="C90" i="48"/>
  <c r="C74" i="48"/>
  <c r="C58" i="48"/>
  <c r="C42" i="48"/>
  <c r="C26" i="48"/>
  <c r="C10" i="48"/>
  <c r="C134" i="48"/>
  <c r="C118" i="48"/>
  <c r="C102" i="48"/>
  <c r="C86" i="48"/>
  <c r="C70" i="48"/>
  <c r="C54" i="48"/>
  <c r="C38" i="48"/>
  <c r="C22" i="48"/>
  <c r="C6" i="48"/>
  <c r="C140" i="31"/>
  <c r="A139" i="31"/>
  <c r="C138" i="48" s="1"/>
  <c r="A149" i="33"/>
  <c r="C150" i="33"/>
  <c r="C151" i="33" l="1"/>
  <c r="A150" i="33"/>
  <c r="C141" i="31"/>
  <c r="A140" i="31"/>
  <c r="A528" i="51"/>
  <c r="A144" i="51"/>
  <c r="C142" i="31" l="1"/>
  <c r="A141" i="31"/>
  <c r="A145" i="51"/>
  <c r="A529" i="51"/>
  <c r="A530" i="51" s="1"/>
  <c r="C152" i="33"/>
  <c r="A151" i="33"/>
  <c r="A146" i="51" l="1"/>
  <c r="A531" i="51"/>
  <c r="C143" i="31"/>
  <c r="A142" i="31"/>
  <c r="C153" i="33"/>
  <c r="A152" i="33"/>
  <c r="A532" i="51" l="1"/>
  <c r="A533" i="51" s="1"/>
  <c r="C154" i="33"/>
  <c r="A153" i="33"/>
  <c r="C144" i="31"/>
  <c r="A143" i="31"/>
  <c r="A147" i="51"/>
  <c r="C145" i="31" l="1"/>
  <c r="A144" i="31"/>
  <c r="A534" i="51"/>
  <c r="A148" i="51"/>
  <c r="C155" i="33"/>
  <c r="A154" i="33"/>
  <c r="A149" i="51" l="1"/>
  <c r="A535" i="51"/>
  <c r="A536" i="51" s="1"/>
  <c r="C156" i="33"/>
  <c r="A155" i="33"/>
  <c r="C146" i="31"/>
  <c r="A145" i="31"/>
  <c r="C147" i="31" l="1"/>
  <c r="A146" i="31"/>
  <c r="A537" i="51"/>
  <c r="C157" i="33"/>
  <c r="A156" i="33"/>
  <c r="A150" i="51"/>
  <c r="A538" i="51" l="1"/>
  <c r="C158" i="33"/>
  <c r="A157" i="33"/>
  <c r="A151" i="51"/>
  <c r="C148" i="31"/>
  <c r="A147" i="31"/>
  <c r="C159" i="33" l="1"/>
  <c r="A158" i="33"/>
  <c r="A152" i="51"/>
  <c r="A539" i="51"/>
  <c r="A540" i="51" s="1"/>
  <c r="C149" i="31"/>
  <c r="A148" i="31"/>
  <c r="A153" i="51" l="1"/>
  <c r="A541" i="51"/>
  <c r="C160" i="33"/>
  <c r="A159" i="33"/>
  <c r="C150" i="31"/>
  <c r="A149" i="31"/>
  <c r="C161" i="33" l="1"/>
  <c r="A160" i="33"/>
  <c r="A154" i="51"/>
  <c r="C151" i="31"/>
  <c r="A150" i="31"/>
  <c r="A542" i="51"/>
  <c r="C152" i="31" l="1"/>
  <c r="A151" i="31"/>
  <c r="C162" i="33"/>
  <c r="A161" i="33"/>
  <c r="A543" i="51"/>
  <c r="A544" i="51" s="1"/>
  <c r="A155" i="51"/>
  <c r="A545" i="51" l="1"/>
  <c r="C153" i="31"/>
  <c r="A152" i="31"/>
  <c r="A156" i="51"/>
  <c r="C163" i="33"/>
  <c r="A162" i="33"/>
  <c r="A157" i="51" l="1"/>
  <c r="C164" i="33"/>
  <c r="A163" i="33"/>
  <c r="C154" i="31"/>
  <c r="A153" i="31"/>
  <c r="A546" i="51"/>
  <c r="C155" i="31" l="1"/>
  <c r="A154" i="31"/>
  <c r="A547" i="51"/>
  <c r="A158" i="51"/>
  <c r="C165" i="33"/>
  <c r="A164" i="33"/>
  <c r="A159" i="51" l="1"/>
  <c r="C156" i="31"/>
  <c r="A155" i="31"/>
  <c r="A165" i="33"/>
  <c r="C166" i="33"/>
  <c r="A548" i="51"/>
  <c r="A549" i="51" s="1"/>
  <c r="C167" i="33" l="1"/>
  <c r="A166" i="33"/>
  <c r="A160" i="51"/>
  <c r="A550" i="51"/>
  <c r="C157" i="31"/>
  <c r="A156" i="31"/>
  <c r="A551" i="51" l="1"/>
  <c r="A161" i="51"/>
  <c r="C158" i="31"/>
  <c r="A157" i="31"/>
  <c r="C168" i="33"/>
  <c r="A167" i="33"/>
  <c r="A162" i="51" l="1"/>
  <c r="C159" i="31"/>
  <c r="A158" i="31"/>
  <c r="A552" i="51"/>
  <c r="C169" i="33"/>
  <c r="A168" i="33"/>
  <c r="C160" i="31" l="1"/>
  <c r="B5" i="31"/>
  <c r="B4" i="2" s="1"/>
  <c r="B7" i="31"/>
  <c r="B4" i="40" s="1"/>
  <c r="B9" i="31"/>
  <c r="B7" i="2" s="1"/>
  <c r="B11" i="31"/>
  <c r="B8" i="2" s="1"/>
  <c r="A159" i="31"/>
  <c r="B159" i="31" s="1"/>
  <c r="B4" i="31"/>
  <c r="B1" i="2" s="1"/>
  <c r="B6" i="31"/>
  <c r="B5" i="2" s="1"/>
  <c r="B8" i="31"/>
  <c r="B6" i="2" s="1"/>
  <c r="B10" i="31"/>
  <c r="B5" i="40" s="1"/>
  <c r="B12" i="31"/>
  <c r="B9" i="2" s="1"/>
  <c r="B13" i="31"/>
  <c r="B10" i="2" s="1"/>
  <c r="B14" i="31"/>
  <c r="B11" i="2" s="1"/>
  <c r="B15" i="31"/>
  <c r="B12" i="2" s="1"/>
  <c r="B16" i="31"/>
  <c r="B13" i="2" s="1"/>
  <c r="B17" i="31"/>
  <c r="B14" i="2" s="1"/>
  <c r="B18" i="31"/>
  <c r="B6" i="40" s="1"/>
  <c r="B19" i="31"/>
  <c r="B1" i="3" s="1"/>
  <c r="B20" i="31"/>
  <c r="B8" i="3" s="1"/>
  <c r="B21" i="31"/>
  <c r="B9" i="3" s="1"/>
  <c r="B22" i="31"/>
  <c r="B10" i="3" s="1"/>
  <c r="B23" i="31"/>
  <c r="B11" i="3" s="1"/>
  <c r="B24" i="31"/>
  <c r="B12" i="3" s="1"/>
  <c r="B25" i="31"/>
  <c r="B13" i="3" s="1"/>
  <c r="B26" i="31"/>
  <c r="B14" i="3" s="1"/>
  <c r="B27" i="31"/>
  <c r="B15" i="3" s="1"/>
  <c r="B28" i="31"/>
  <c r="B16" i="3" s="1"/>
  <c r="B29" i="31"/>
  <c r="B17" i="3" s="1"/>
  <c r="B30" i="31"/>
  <c r="B21" i="3" s="1"/>
  <c r="B31" i="31"/>
  <c r="B22" i="3" s="1"/>
  <c r="B32" i="31"/>
  <c r="B23" i="3" s="1"/>
  <c r="B33" i="31"/>
  <c r="B24" i="3" s="1"/>
  <c r="B34" i="31"/>
  <c r="B25" i="3" s="1"/>
  <c r="B35" i="31"/>
  <c r="B26" i="3" s="1"/>
  <c r="B36" i="31"/>
  <c r="B1" i="4" s="1"/>
  <c r="B37" i="31"/>
  <c r="B9" i="4" s="1"/>
  <c r="B38" i="31"/>
  <c r="B10" i="4" s="1"/>
  <c r="B39" i="31"/>
  <c r="B11" i="4" s="1"/>
  <c r="B40" i="31"/>
  <c r="B12" i="4" s="1"/>
  <c r="B41" i="31"/>
  <c r="B13" i="4" s="1"/>
  <c r="B42" i="31"/>
  <c r="B14" i="4" s="1"/>
  <c r="B43" i="31"/>
  <c r="B15" i="4" s="1"/>
  <c r="B44" i="31"/>
  <c r="B16" i="4" s="1"/>
  <c r="B45" i="31"/>
  <c r="B17" i="4" s="1"/>
  <c r="B46" i="31"/>
  <c r="B18" i="4" s="1"/>
  <c r="B47" i="31"/>
  <c r="B19" i="4" s="1"/>
  <c r="B48" i="31"/>
  <c r="B20" i="4" s="1"/>
  <c r="B49" i="31"/>
  <c r="B21" i="4" s="1"/>
  <c r="B50" i="31"/>
  <c r="B22" i="4" s="1"/>
  <c r="B51" i="31"/>
  <c r="B23" i="4" s="1"/>
  <c r="B52" i="31"/>
  <c r="B24" i="4" s="1"/>
  <c r="B53" i="31"/>
  <c r="B25" i="4" s="1"/>
  <c r="B54" i="31"/>
  <c r="B26" i="4" s="1"/>
  <c r="B55" i="31"/>
  <c r="B27" i="4" s="1"/>
  <c r="B56" i="31"/>
  <c r="B28" i="4" s="1"/>
  <c r="B57" i="31"/>
  <c r="B29" i="4" s="1"/>
  <c r="B58" i="31"/>
  <c r="B30" i="4" s="1"/>
  <c r="B59" i="31"/>
  <c r="B31" i="4" s="1"/>
  <c r="B60" i="31"/>
  <c r="B32" i="4" s="1"/>
  <c r="B61" i="31"/>
  <c r="B33" i="4" s="1"/>
  <c r="B62" i="31"/>
  <c r="B34" i="4" s="1"/>
  <c r="B63" i="31"/>
  <c r="B35" i="4" s="1"/>
  <c r="B64" i="31"/>
  <c r="B36" i="4" s="1"/>
  <c r="B65" i="31"/>
  <c r="B66" i="31"/>
  <c r="B1" i="20" s="1"/>
  <c r="B67" i="31"/>
  <c r="B9" i="20" s="1"/>
  <c r="B68" i="31"/>
  <c r="B10" i="20" s="1"/>
  <c r="B69" i="31"/>
  <c r="B11" i="20" s="1"/>
  <c r="B70" i="31"/>
  <c r="B12" i="20" s="1"/>
  <c r="B71" i="31"/>
  <c r="B13" i="20" s="1"/>
  <c r="B72" i="31"/>
  <c r="B14" i="20" s="1"/>
  <c r="B73" i="31"/>
  <c r="B15" i="20" s="1"/>
  <c r="B74" i="31"/>
  <c r="B16" i="20" s="1"/>
  <c r="B75" i="31"/>
  <c r="B17" i="20" s="1"/>
  <c r="B76" i="31"/>
  <c r="B18" i="20" s="1"/>
  <c r="B77" i="31"/>
  <c r="B19" i="20" s="1"/>
  <c r="B78" i="31"/>
  <c r="B20" i="20" s="1"/>
  <c r="B79" i="31"/>
  <c r="B21" i="20" s="1"/>
  <c r="B80" i="31"/>
  <c r="B22" i="20" s="1"/>
  <c r="B81" i="31"/>
  <c r="B23" i="20" s="1"/>
  <c r="B82" i="31"/>
  <c r="B24" i="20" s="1"/>
  <c r="B83" i="31"/>
  <c r="B25" i="20" s="1"/>
  <c r="B84" i="31"/>
  <c r="B26" i="20" s="1"/>
  <c r="B85" i="31"/>
  <c r="B27" i="20" s="1"/>
  <c r="B86" i="31"/>
  <c r="B28" i="20" s="1"/>
  <c r="B87" i="31"/>
  <c r="B29" i="20" s="1"/>
  <c r="B88" i="31"/>
  <c r="B30" i="20" s="1"/>
  <c r="B89" i="31"/>
  <c r="B31" i="20" s="1"/>
  <c r="B90" i="31"/>
  <c r="B32" i="20" s="1"/>
  <c r="B91" i="31"/>
  <c r="B33" i="20" s="1"/>
  <c r="B92" i="31"/>
  <c r="B34" i="20" s="1"/>
  <c r="B93" i="31"/>
  <c r="B35" i="20" s="1"/>
  <c r="B94" i="31"/>
  <c r="B36" i="20" s="1"/>
  <c r="B95" i="31"/>
  <c r="B1" i="30" s="1"/>
  <c r="B96" i="31"/>
  <c r="A9" i="30" s="1"/>
  <c r="B97" i="31"/>
  <c r="B10" i="30" s="1"/>
  <c r="B98" i="31"/>
  <c r="B11" i="30" s="1"/>
  <c r="B99" i="31"/>
  <c r="B12" i="30" s="1"/>
  <c r="B100" i="31"/>
  <c r="B13" i="30" s="1"/>
  <c r="B102" i="31"/>
  <c r="B15" i="30" s="1"/>
  <c r="B103" i="31"/>
  <c r="B16" i="30" s="1"/>
  <c r="B104" i="31"/>
  <c r="B17" i="30" s="1"/>
  <c r="B105" i="31"/>
  <c r="B1" i="21" s="1"/>
  <c r="B106" i="31"/>
  <c r="B107" i="31"/>
  <c r="B12" i="21" s="1"/>
  <c r="B108" i="31"/>
  <c r="B13" i="21" s="1"/>
  <c r="B109" i="31"/>
  <c r="B14" i="21" s="1"/>
  <c r="B110" i="31"/>
  <c r="B15" i="21" s="1"/>
  <c r="B111" i="31"/>
  <c r="B28" i="24" s="1"/>
  <c r="B112" i="31"/>
  <c r="B29" i="24" s="1"/>
  <c r="B113" i="31"/>
  <c r="B30" i="24" s="1"/>
  <c r="B114" i="31"/>
  <c r="B31" i="24" s="1"/>
  <c r="B115" i="31"/>
  <c r="A9" i="21" s="1"/>
  <c r="B116" i="31"/>
  <c r="A10" i="21" s="1"/>
  <c r="B117" i="31"/>
  <c r="B16" i="21" s="1"/>
  <c r="B118" i="31"/>
  <c r="B17" i="21" s="1"/>
  <c r="B119" i="31"/>
  <c r="B18" i="21" s="1"/>
  <c r="B120" i="31"/>
  <c r="B19" i="21" s="1"/>
  <c r="B121" i="31"/>
  <c r="B20" i="21" s="1"/>
  <c r="B122" i="31"/>
  <c r="B21" i="21" s="1"/>
  <c r="B123" i="31"/>
  <c r="B22" i="21" s="1"/>
  <c r="B124" i="31"/>
  <c r="B23" i="21" s="1"/>
  <c r="B125" i="31"/>
  <c r="B24" i="21" s="1"/>
  <c r="B126" i="31"/>
  <c r="B25" i="21" s="1"/>
  <c r="B127" i="31"/>
  <c r="B26" i="21" s="1"/>
  <c r="B128" i="31"/>
  <c r="A11" i="21" s="1"/>
  <c r="B129" i="31"/>
  <c r="B27" i="21" s="1"/>
  <c r="B130" i="31"/>
  <c r="B28" i="21" s="1"/>
  <c r="B131" i="31"/>
  <c r="B29" i="21" s="1"/>
  <c r="B132" i="31"/>
  <c r="B30" i="21" s="1"/>
  <c r="B133" i="31"/>
  <c r="B31" i="21" s="1"/>
  <c r="B134" i="31"/>
  <c r="B32" i="21" s="1"/>
  <c r="B135" i="31"/>
  <c r="B33" i="21" s="1"/>
  <c r="B136" i="31"/>
  <c r="B34" i="21" s="1"/>
  <c r="B137" i="31"/>
  <c r="B35" i="21" s="1"/>
  <c r="B138" i="31"/>
  <c r="B1" i="23" s="1"/>
  <c r="B139" i="31"/>
  <c r="B140" i="31"/>
  <c r="B9" i="23" s="1"/>
  <c r="B141" i="31"/>
  <c r="B10" i="23" s="1"/>
  <c r="B142" i="31"/>
  <c r="B11" i="23" s="1"/>
  <c r="B143" i="31"/>
  <c r="B12" i="23" s="1"/>
  <c r="B144" i="31"/>
  <c r="B13" i="23" s="1"/>
  <c r="B145" i="31"/>
  <c r="B14" i="23" s="1"/>
  <c r="B146" i="31"/>
  <c r="B15" i="23" s="1"/>
  <c r="B147" i="31"/>
  <c r="B16" i="23" s="1"/>
  <c r="B148" i="31"/>
  <c r="B17" i="23" s="1"/>
  <c r="B149" i="31"/>
  <c r="B18" i="23" s="1"/>
  <c r="B150" i="31"/>
  <c r="B19" i="23" s="1"/>
  <c r="B151" i="31"/>
  <c r="B20" i="23" s="1"/>
  <c r="B152" i="31"/>
  <c r="B21" i="23" s="1"/>
  <c r="B153" i="31"/>
  <c r="B22" i="23" s="1"/>
  <c r="B154" i="31"/>
  <c r="B23" i="23" s="1"/>
  <c r="B155" i="31"/>
  <c r="B24" i="23" s="1"/>
  <c r="B156" i="31"/>
  <c r="B25" i="23" s="1"/>
  <c r="C170" i="33"/>
  <c r="A169" i="33"/>
  <c r="A553" i="51"/>
  <c r="A554" i="51" s="1"/>
  <c r="A163" i="51"/>
  <c r="B158" i="31"/>
  <c r="B1" i="24" s="1"/>
  <c r="B157" i="31"/>
  <c r="B26" i="23" s="1"/>
  <c r="A164" i="51" l="1"/>
  <c r="B16" i="40"/>
  <c r="B36" i="21"/>
  <c r="B11" i="19"/>
  <c r="B18" i="40"/>
  <c r="B32" i="24"/>
  <c r="B13" i="19"/>
  <c r="A555" i="51"/>
  <c r="B8" i="19"/>
  <c r="B13" i="40"/>
  <c r="B37" i="4"/>
  <c r="B4" i="19"/>
  <c r="F24" i="19" s="1"/>
  <c r="A35" i="40" s="1"/>
  <c r="B9" i="40"/>
  <c r="B15" i="40"/>
  <c r="B10" i="19"/>
  <c r="B18" i="30"/>
  <c r="B12" i="40"/>
  <c r="B18" i="3"/>
  <c r="B7" i="19"/>
  <c r="C171" i="33"/>
  <c r="A170" i="33"/>
  <c r="B17" i="40"/>
  <c r="B12" i="19"/>
  <c r="B27" i="23"/>
  <c r="B14" i="40"/>
  <c r="B9" i="19"/>
  <c r="B37" i="20"/>
  <c r="C161" i="31"/>
  <c r="A160" i="31"/>
  <c r="C172" i="33" l="1"/>
  <c r="A171" i="33"/>
  <c r="C162" i="31"/>
  <c r="A161" i="31"/>
  <c r="A556" i="51"/>
  <c r="A165" i="51"/>
  <c r="A557" i="51" l="1"/>
  <c r="C173" i="33"/>
  <c r="A172" i="33"/>
  <c r="A166" i="51"/>
  <c r="C163" i="31"/>
  <c r="A162" i="31"/>
  <c r="C174" i="33" l="1"/>
  <c r="A173" i="33"/>
  <c r="A558" i="51"/>
  <c r="A559" i="51" s="1"/>
  <c r="A167" i="51"/>
  <c r="C164" i="31"/>
  <c r="A163" i="31"/>
  <c r="C165" i="31" l="1"/>
  <c r="A164" i="31"/>
  <c r="A560" i="51"/>
  <c r="A168" i="51"/>
  <c r="C175" i="33"/>
  <c r="A174" i="33"/>
  <c r="C176" i="33" l="1"/>
  <c r="A175" i="33"/>
  <c r="A561" i="51"/>
  <c r="A169" i="51"/>
  <c r="C166" i="31"/>
  <c r="A165" i="31"/>
  <c r="A562" i="51" l="1"/>
  <c r="C167" i="31"/>
  <c r="A166" i="31"/>
  <c r="A170" i="51"/>
  <c r="C177" i="33"/>
  <c r="A176" i="33"/>
  <c r="C168" i="31" l="1"/>
  <c r="A167" i="31"/>
  <c r="C178" i="33"/>
  <c r="A177" i="33"/>
  <c r="C486" i="51"/>
  <c r="C470" i="51"/>
  <c r="C475" i="51"/>
  <c r="C480" i="51"/>
  <c r="C478" i="51"/>
  <c r="C479" i="51"/>
  <c r="C472" i="51"/>
  <c r="C477" i="51"/>
  <c r="C482" i="51"/>
  <c r="C487" i="51"/>
  <c r="C473" i="51"/>
  <c r="C483" i="51"/>
  <c r="C474" i="51"/>
  <c r="C484" i="51"/>
  <c r="C489" i="51"/>
  <c r="C490" i="51"/>
  <c r="C491" i="51"/>
  <c r="C492" i="51"/>
  <c r="C494" i="51"/>
  <c r="C495" i="51"/>
  <c r="C496" i="51"/>
  <c r="C497" i="51"/>
  <c r="C499" i="51"/>
  <c r="C500" i="51"/>
  <c r="C501" i="51"/>
  <c r="C502" i="51"/>
  <c r="C503" i="51"/>
  <c r="C505" i="51"/>
  <c r="C506" i="51"/>
  <c r="C507" i="51"/>
  <c r="C509" i="51"/>
  <c r="C510" i="51"/>
  <c r="C511" i="51"/>
  <c r="C513" i="51"/>
  <c r="C514" i="51"/>
  <c r="C515" i="51"/>
  <c r="C516" i="51"/>
  <c r="C518" i="51"/>
  <c r="C519" i="51"/>
  <c r="C520" i="51"/>
  <c r="C521" i="51"/>
  <c r="C523" i="51"/>
  <c r="C524" i="51"/>
  <c r="C525" i="51"/>
  <c r="A563" i="51"/>
  <c r="A564" i="51" s="1"/>
  <c r="A171" i="51"/>
  <c r="C179" i="33" l="1"/>
  <c r="A178" i="33"/>
  <c r="A172" i="51"/>
  <c r="C527" i="51"/>
  <c r="C169" i="31"/>
  <c r="A168" i="31"/>
  <c r="A565" i="51"/>
  <c r="A173" i="51" l="1"/>
  <c r="C170" i="31"/>
  <c r="A169" i="31"/>
  <c r="A566" i="51"/>
  <c r="C180" i="33"/>
  <c r="A179" i="33"/>
  <c r="C171" i="31" l="1"/>
  <c r="A170" i="31"/>
  <c r="A567" i="51"/>
  <c r="A174" i="51"/>
  <c r="C181" i="33"/>
  <c r="A180" i="33"/>
  <c r="A568" i="51" l="1"/>
  <c r="A569" i="51" s="1"/>
  <c r="C182" i="33"/>
  <c r="A181" i="33"/>
  <c r="A175" i="51"/>
  <c r="C172" i="31"/>
  <c r="A171" i="31"/>
  <c r="C183" i="33" l="1"/>
  <c r="A182" i="33"/>
  <c r="C173" i="31"/>
  <c r="A172" i="31"/>
  <c r="A176" i="51"/>
  <c r="A570" i="51"/>
  <c r="C174" i="31" l="1"/>
  <c r="A173" i="31"/>
  <c r="A571" i="51"/>
  <c r="A177" i="51"/>
  <c r="C184" i="33"/>
  <c r="A183" i="33"/>
  <c r="C185" i="33" l="1"/>
  <c r="A184" i="33"/>
  <c r="A572" i="51"/>
  <c r="A178" i="51"/>
  <c r="C175" i="31"/>
  <c r="A174" i="31"/>
  <c r="A573" i="51" l="1"/>
  <c r="A574" i="51" s="1"/>
  <c r="A179" i="51"/>
  <c r="C186" i="33"/>
  <c r="A185" i="33"/>
  <c r="C176" i="31"/>
  <c r="A175" i="31"/>
  <c r="C187" i="33" l="1"/>
  <c r="A186" i="33"/>
  <c r="A180" i="51"/>
  <c r="C177" i="31"/>
  <c r="A176" i="31"/>
  <c r="A575" i="51"/>
  <c r="A177" i="31" l="1"/>
  <c r="C178" i="31"/>
  <c r="C188" i="33"/>
  <c r="A187" i="33"/>
  <c r="A181" i="51"/>
  <c r="A576" i="51"/>
  <c r="A577" i="51" l="1"/>
  <c r="A578" i="51" s="1"/>
  <c r="C189" i="33"/>
  <c r="A188" i="33"/>
  <c r="A182" i="51"/>
  <c r="C179" i="31"/>
  <c r="A178" i="31"/>
  <c r="C180" i="31" l="1"/>
  <c r="A179" i="31"/>
  <c r="C190" i="33"/>
  <c r="A189" i="33"/>
  <c r="A183" i="51"/>
  <c r="A579" i="51"/>
  <c r="C191" i="33" l="1"/>
  <c r="A190" i="33"/>
  <c r="A580" i="51"/>
  <c r="A184" i="51"/>
  <c r="C181" i="31"/>
  <c r="A180" i="31"/>
  <c r="C182" i="31" l="1"/>
  <c r="A181" i="31"/>
  <c r="A581" i="51"/>
  <c r="A185" i="51"/>
  <c r="C192" i="33"/>
  <c r="A191" i="33"/>
  <c r="A582" i="51" l="1"/>
  <c r="A583" i="51" s="1"/>
  <c r="C193" i="33"/>
  <c r="A192" i="33"/>
  <c r="A186" i="51"/>
  <c r="C183" i="31"/>
  <c r="A182" i="31"/>
  <c r="A584" i="51" l="1"/>
  <c r="A187" i="51"/>
  <c r="C184" i="31"/>
  <c r="A183" i="31"/>
  <c r="C194" i="33"/>
  <c r="A193" i="33"/>
  <c r="C195" i="33" l="1"/>
  <c r="A194" i="33"/>
  <c r="C185" i="31"/>
  <c r="A184" i="31"/>
  <c r="A585" i="51"/>
  <c r="A188" i="51"/>
  <c r="A189" i="51" l="1"/>
  <c r="C186" i="31"/>
  <c r="A185" i="31"/>
  <c r="C196" i="33"/>
  <c r="A195" i="33"/>
  <c r="C197" i="33" l="1"/>
  <c r="A196" i="33"/>
  <c r="C187" i="31"/>
  <c r="A186" i="31"/>
  <c r="A190" i="51"/>
  <c r="C198" i="33" l="1"/>
  <c r="A197" i="33"/>
  <c r="C188" i="31"/>
  <c r="A187" i="31"/>
  <c r="A191" i="51"/>
  <c r="C189" i="31" l="1"/>
  <c r="A188" i="31"/>
  <c r="A192" i="51"/>
  <c r="C199" i="33"/>
  <c r="A198" i="33"/>
  <c r="A193" i="51" l="1"/>
  <c r="C200" i="33"/>
  <c r="A199" i="33"/>
  <c r="C190" i="31"/>
  <c r="A189" i="31"/>
  <c r="C201" i="33" l="1"/>
  <c r="A200" i="33"/>
  <c r="C191" i="31"/>
  <c r="A190" i="31"/>
  <c r="A194" i="51"/>
  <c r="A195" i="51" l="1"/>
  <c r="C202" i="33"/>
  <c r="A201" i="33"/>
  <c r="C192" i="31"/>
  <c r="A191" i="31"/>
  <c r="C203" i="33" l="1"/>
  <c r="A202" i="33"/>
  <c r="C193" i="31"/>
  <c r="A192" i="31"/>
  <c r="A196" i="51"/>
  <c r="A193" i="31" l="1"/>
  <c r="C194" i="31"/>
  <c r="C204" i="33"/>
  <c r="A203" i="33"/>
  <c r="A197" i="51"/>
  <c r="C195" i="31" l="1"/>
  <c r="A194" i="31"/>
  <c r="C205" i="33"/>
  <c r="A204" i="33"/>
  <c r="A198" i="51"/>
  <c r="C206" i="33" l="1"/>
  <c r="A205" i="33"/>
  <c r="A199" i="51"/>
  <c r="C196" i="31"/>
  <c r="A195" i="31"/>
  <c r="A200" i="51" l="1"/>
  <c r="C197" i="31"/>
  <c r="A196" i="31"/>
  <c r="C207" i="33"/>
  <c r="A206" i="33"/>
  <c r="C531" i="51"/>
  <c r="C537" i="51"/>
  <c r="C542" i="51"/>
  <c r="C547" i="51"/>
  <c r="C552" i="51"/>
  <c r="C530" i="51"/>
  <c r="C546" i="51"/>
  <c r="C533" i="51"/>
  <c r="C538" i="51"/>
  <c r="C544" i="51"/>
  <c r="C549" i="51"/>
  <c r="C554" i="51"/>
  <c r="C541" i="51"/>
  <c r="C556" i="51"/>
  <c r="C528" i="51"/>
  <c r="C534" i="51"/>
  <c r="C540" i="51"/>
  <c r="C545" i="51"/>
  <c r="C550" i="51"/>
  <c r="C555" i="51"/>
  <c r="C536" i="51"/>
  <c r="C551" i="51"/>
  <c r="C460" i="48" l="1"/>
  <c r="C438" i="48"/>
  <c r="C418" i="48"/>
  <c r="C464" i="48"/>
  <c r="C442" i="48"/>
  <c r="C422" i="48"/>
  <c r="C468" i="48"/>
  <c r="C425" i="48"/>
  <c r="C477" i="48"/>
  <c r="C435" i="48"/>
  <c r="C441" i="48"/>
  <c r="C440" i="48"/>
  <c r="C471" i="48"/>
  <c r="C428" i="48"/>
  <c r="C474" i="48"/>
  <c r="C453" i="48"/>
  <c r="C412" i="48"/>
  <c r="C446" i="48"/>
  <c r="C456" i="48"/>
  <c r="C421" i="48"/>
  <c r="C462" i="48"/>
  <c r="C466" i="48"/>
  <c r="C423" i="48"/>
  <c r="C469" i="48"/>
  <c r="C427" i="48"/>
  <c r="C445" i="48"/>
  <c r="C411" i="48"/>
  <c r="C450" i="48"/>
  <c r="C476" i="48"/>
  <c r="C455" i="48"/>
  <c r="C433" i="48"/>
  <c r="C413" i="48"/>
  <c r="C459" i="48"/>
  <c r="C437" i="48"/>
  <c r="C417" i="48"/>
  <c r="C458" i="48"/>
  <c r="C416" i="48"/>
  <c r="C467" i="48"/>
  <c r="C424" i="48"/>
  <c r="C473" i="48"/>
  <c r="C431" i="48"/>
  <c r="C472" i="48"/>
  <c r="C429" i="48"/>
  <c r="C449" i="48"/>
  <c r="C432" i="48"/>
  <c r="C414" i="48"/>
  <c r="C463" i="48"/>
  <c r="C419" i="48"/>
  <c r="C443" i="48"/>
  <c r="C447" i="48"/>
  <c r="C478" i="48"/>
  <c r="C436" i="48"/>
  <c r="C452" i="48"/>
  <c r="C208" i="33"/>
  <c r="A207" i="33"/>
  <c r="C198" i="31"/>
  <c r="A197" i="31"/>
  <c r="A201" i="51"/>
  <c r="A202" i="51" l="1"/>
  <c r="C209" i="33"/>
  <c r="A208" i="33"/>
  <c r="C199" i="31"/>
  <c r="A198" i="31"/>
  <c r="C200" i="31" l="1"/>
  <c r="A199" i="31"/>
  <c r="C210" i="33"/>
  <c r="A209" i="33"/>
  <c r="A203" i="51"/>
  <c r="A204" i="51" l="1"/>
  <c r="C211" i="33"/>
  <c r="A210" i="33"/>
  <c r="C201" i="31"/>
  <c r="A200" i="31"/>
  <c r="C212" i="33" l="1"/>
  <c r="A211" i="33"/>
  <c r="C202" i="31"/>
  <c r="A201" i="31"/>
  <c r="A205" i="51"/>
  <c r="C203" i="31" l="1"/>
  <c r="A202" i="31"/>
  <c r="A206" i="51"/>
  <c r="C213" i="33"/>
  <c r="A212" i="33"/>
  <c r="A207" i="51" l="1"/>
  <c r="C214" i="33"/>
  <c r="A213" i="33"/>
  <c r="C204" i="31"/>
  <c r="A203" i="31"/>
  <c r="A208" i="51" l="1"/>
  <c r="C215" i="33"/>
  <c r="A214" i="33"/>
  <c r="C205" i="31"/>
  <c r="A204" i="31"/>
  <c r="C206" i="31" l="1"/>
  <c r="A205" i="31"/>
  <c r="C216" i="33"/>
  <c r="A215" i="33"/>
  <c r="A209" i="51"/>
  <c r="C217" i="33" l="1"/>
  <c r="A216" i="33"/>
  <c r="A210" i="51"/>
  <c r="C207" i="31"/>
  <c r="A206" i="31"/>
  <c r="C140" i="51"/>
  <c r="C141" i="51"/>
  <c r="C139" i="51"/>
  <c r="C142" i="51"/>
  <c r="C143" i="51"/>
  <c r="C144" i="51"/>
  <c r="C145" i="51"/>
  <c r="C146" i="51"/>
  <c r="C147" i="51"/>
  <c r="C148" i="51"/>
  <c r="C149" i="51"/>
  <c r="C150" i="51"/>
  <c r="C151" i="51"/>
  <c r="C152" i="51"/>
  <c r="C153" i="51"/>
  <c r="C154" i="51"/>
  <c r="C155" i="51"/>
  <c r="C156" i="51"/>
  <c r="C157" i="51"/>
  <c r="C158" i="51"/>
  <c r="C159" i="51"/>
  <c r="C160" i="51"/>
  <c r="C161" i="51"/>
  <c r="C162" i="51"/>
  <c r="C163" i="51"/>
  <c r="C164" i="51"/>
  <c r="C165" i="51"/>
  <c r="C166" i="51"/>
  <c r="C167" i="51"/>
  <c r="C168" i="51"/>
  <c r="C169" i="51"/>
  <c r="C170" i="51"/>
  <c r="C171" i="51"/>
  <c r="C172" i="51"/>
  <c r="C173" i="51"/>
  <c r="C174" i="51"/>
  <c r="C175" i="51"/>
  <c r="C176" i="51"/>
  <c r="C177" i="51"/>
  <c r="C178" i="51"/>
  <c r="C179" i="51"/>
  <c r="C180" i="51"/>
  <c r="C181" i="51"/>
  <c r="C182" i="51"/>
  <c r="C183" i="51"/>
  <c r="C184" i="51"/>
  <c r="C185" i="51"/>
  <c r="C186" i="51"/>
  <c r="C187" i="51"/>
  <c r="C188" i="51"/>
  <c r="C189" i="51"/>
  <c r="C190" i="51"/>
  <c r="C191" i="51"/>
  <c r="C192" i="51"/>
  <c r="C193" i="51"/>
  <c r="C194" i="51"/>
  <c r="C195" i="51"/>
  <c r="C196" i="51"/>
  <c r="C197" i="51"/>
  <c r="C198" i="51"/>
  <c r="C199" i="51"/>
  <c r="C200" i="51"/>
  <c r="C201" i="51"/>
  <c r="C202" i="51"/>
  <c r="C203" i="51"/>
  <c r="C204" i="51"/>
  <c r="C205" i="51"/>
  <c r="C206" i="51"/>
  <c r="C193" i="48" l="1"/>
  <c r="C177" i="48"/>
  <c r="C161" i="48"/>
  <c r="C145" i="48"/>
  <c r="C192" i="48"/>
  <c r="C176" i="48"/>
  <c r="C160" i="48"/>
  <c r="C144" i="48"/>
  <c r="C191" i="48"/>
  <c r="C175" i="48"/>
  <c r="C159" i="48"/>
  <c r="C143" i="48"/>
  <c r="C194" i="48"/>
  <c r="C206" i="48"/>
  <c r="C142" i="48"/>
  <c r="C154" i="48"/>
  <c r="C166" i="48"/>
  <c r="C185" i="48"/>
  <c r="C153" i="48"/>
  <c r="C184" i="48"/>
  <c r="C152" i="48"/>
  <c r="C199" i="48"/>
  <c r="C167" i="48"/>
  <c r="C186" i="48"/>
  <c r="C205" i="48"/>
  <c r="C189" i="48"/>
  <c r="C173" i="48"/>
  <c r="C157" i="48"/>
  <c r="C141" i="48"/>
  <c r="C204" i="48"/>
  <c r="C188" i="48"/>
  <c r="C172" i="48"/>
  <c r="C156" i="48"/>
  <c r="C140" i="48"/>
  <c r="C203" i="48"/>
  <c r="C187" i="48"/>
  <c r="C171" i="48"/>
  <c r="C155" i="48"/>
  <c r="C139" i="48"/>
  <c r="C178" i="48"/>
  <c r="C190" i="48"/>
  <c r="C202" i="48"/>
  <c r="C150" i="48"/>
  <c r="C201" i="48"/>
  <c r="C169" i="48"/>
  <c r="C200" i="48"/>
  <c r="C168" i="48"/>
  <c r="C183" i="48"/>
  <c r="C151" i="48"/>
  <c r="C162" i="48"/>
  <c r="C174" i="48"/>
  <c r="C149" i="48"/>
  <c r="C196" i="48"/>
  <c r="C180" i="48"/>
  <c r="C148" i="48"/>
  <c r="C179" i="48"/>
  <c r="C147" i="48"/>
  <c r="C146" i="48"/>
  <c r="C158" i="48"/>
  <c r="C170" i="48"/>
  <c r="C198" i="48"/>
  <c r="C197" i="48"/>
  <c r="C181" i="48"/>
  <c r="C165" i="48"/>
  <c r="C164" i="48"/>
  <c r="C195" i="48"/>
  <c r="C163" i="48"/>
  <c r="C182" i="48"/>
  <c r="C208" i="31"/>
  <c r="A207" i="31"/>
  <c r="A211" i="51"/>
  <c r="C218" i="33"/>
  <c r="A217" i="33"/>
  <c r="A212" i="51" l="1"/>
  <c r="C219" i="33"/>
  <c r="A218" i="33"/>
  <c r="C209" i="31"/>
  <c r="A208" i="31"/>
  <c r="C210" i="31" l="1"/>
  <c r="A209" i="31"/>
  <c r="A213" i="51"/>
  <c r="C220" i="33"/>
  <c r="A219" i="33"/>
  <c r="A214" i="51" l="1"/>
  <c r="C211" i="31"/>
  <c r="A210" i="31"/>
  <c r="C221" i="33"/>
  <c r="A220" i="33"/>
  <c r="C222" i="33" l="1"/>
  <c r="A221" i="33"/>
  <c r="C561" i="51"/>
  <c r="C560" i="51"/>
  <c r="C565" i="51"/>
  <c r="C570" i="51"/>
  <c r="C569" i="51"/>
  <c r="C566" i="51"/>
  <c r="C571" i="51"/>
  <c r="C564" i="51"/>
  <c r="C557" i="51"/>
  <c r="C567" i="51"/>
  <c r="C562" i="51"/>
  <c r="C559" i="51"/>
  <c r="C212" i="31"/>
  <c r="A211" i="31"/>
  <c r="A215" i="51"/>
  <c r="C213" i="31" l="1"/>
  <c r="A212" i="31"/>
  <c r="A216" i="51"/>
  <c r="C223" i="33"/>
  <c r="A222" i="33"/>
  <c r="A217" i="51" l="1"/>
  <c r="C224" i="33"/>
  <c r="A223" i="33"/>
  <c r="C214" i="31"/>
  <c r="A213" i="31"/>
  <c r="C225" i="33" l="1"/>
  <c r="A224" i="33"/>
  <c r="C215" i="31"/>
  <c r="A214" i="31"/>
  <c r="A218" i="51"/>
  <c r="C216" i="31" l="1"/>
  <c r="A215" i="31"/>
  <c r="A219" i="51"/>
  <c r="C226" i="33"/>
  <c r="A225" i="33"/>
  <c r="C227" i="33" l="1"/>
  <c r="A226" i="33"/>
  <c r="C217" i="31"/>
  <c r="A216" i="31"/>
  <c r="A220" i="51"/>
  <c r="C228" i="33" l="1"/>
  <c r="A227" i="33"/>
  <c r="C218" i="31"/>
  <c r="A217" i="31"/>
  <c r="A221" i="51"/>
  <c r="C219" i="31" l="1"/>
  <c r="A218" i="31"/>
  <c r="A222" i="51"/>
  <c r="C229" i="33"/>
  <c r="A228" i="33"/>
  <c r="C572" i="51"/>
  <c r="C578" i="51"/>
  <c r="C574" i="51"/>
  <c r="C576" i="51"/>
  <c r="C575" i="51"/>
  <c r="A223" i="51" l="1"/>
  <c r="C230" i="33"/>
  <c r="A229" i="33"/>
  <c r="C220" i="31"/>
  <c r="A219" i="31"/>
  <c r="A224" i="51" l="1"/>
  <c r="C231" i="33"/>
  <c r="A230" i="33"/>
  <c r="C221" i="31"/>
  <c r="A220" i="31"/>
  <c r="C232" i="33" l="1"/>
  <c r="A231" i="33"/>
  <c r="C222" i="31"/>
  <c r="A221" i="31"/>
  <c r="A225" i="51"/>
  <c r="C223" i="31" l="1"/>
  <c r="A222" i="31"/>
  <c r="C233" i="33"/>
  <c r="A232" i="33"/>
  <c r="C581" i="51"/>
  <c r="C580" i="51"/>
  <c r="C579" i="51"/>
  <c r="A226" i="51"/>
  <c r="C234" i="33" l="1"/>
  <c r="A233" i="33"/>
  <c r="A227" i="51"/>
  <c r="C224" i="31"/>
  <c r="A223" i="31"/>
  <c r="A228" i="51" l="1"/>
  <c r="C225" i="31"/>
  <c r="A224" i="31"/>
  <c r="C235" i="33"/>
  <c r="A234" i="33"/>
  <c r="A225" i="31" l="1"/>
  <c r="C226" i="31"/>
  <c r="C236" i="33"/>
  <c r="A235" i="33"/>
  <c r="C585" i="51"/>
  <c r="C584" i="51"/>
  <c r="C583" i="51"/>
  <c r="A229" i="51"/>
  <c r="C237" i="33" l="1"/>
  <c r="A236" i="33"/>
  <c r="A230" i="51"/>
  <c r="C227" i="31"/>
  <c r="A226" i="31"/>
  <c r="A231" i="51" l="1"/>
  <c r="C228" i="31"/>
  <c r="A227" i="31"/>
  <c r="C238" i="33"/>
  <c r="A237" i="33"/>
  <c r="C239" i="33" l="1"/>
  <c r="A238" i="33"/>
  <c r="C229" i="31"/>
  <c r="A228" i="31"/>
  <c r="A232" i="51"/>
  <c r="C240" i="33" l="1"/>
  <c r="A239" i="33"/>
  <c r="A233" i="51"/>
  <c r="C230" i="31"/>
  <c r="A229" i="31"/>
  <c r="A234" i="51" l="1"/>
  <c r="C231" i="31"/>
  <c r="A230" i="31"/>
  <c r="C241" i="33"/>
  <c r="A240" i="33"/>
  <c r="C232" i="31" l="1"/>
  <c r="A231" i="31"/>
  <c r="A235" i="51"/>
  <c r="C502" i="48"/>
  <c r="C493" i="48"/>
  <c r="C496" i="48"/>
  <c r="C491" i="48"/>
  <c r="C497" i="48"/>
  <c r="C488" i="48"/>
  <c r="C487" i="48"/>
  <c r="C501" i="48"/>
  <c r="C482" i="48"/>
  <c r="C494" i="48"/>
  <c r="C500" i="48"/>
  <c r="C507" i="48"/>
  <c r="C486" i="48"/>
  <c r="C489" i="48"/>
  <c r="C481" i="48"/>
  <c r="C505" i="48"/>
  <c r="C506" i="48"/>
  <c r="C492" i="48"/>
  <c r="C479" i="48"/>
  <c r="C498" i="48"/>
  <c r="C503" i="48"/>
  <c r="C484" i="48"/>
  <c r="C483" i="48"/>
  <c r="C242" i="33"/>
  <c r="A241" i="33"/>
  <c r="A236" i="51" l="1"/>
  <c r="C243" i="33"/>
  <c r="A242" i="33"/>
  <c r="C233" i="31"/>
  <c r="A232" i="31"/>
  <c r="C234" i="31" l="1"/>
  <c r="A233" i="31"/>
  <c r="A237" i="51"/>
  <c r="C244" i="33"/>
  <c r="A243" i="33"/>
  <c r="A238" i="51" l="1"/>
  <c r="C245" i="33"/>
  <c r="A244" i="33"/>
  <c r="C235" i="31"/>
  <c r="A234" i="31"/>
  <c r="C236" i="31" l="1"/>
  <c r="A235" i="31"/>
  <c r="C246" i="33"/>
  <c r="A245" i="33"/>
  <c r="A239" i="51"/>
  <c r="B235" i="31" l="1"/>
  <c r="B16" i="27" s="1"/>
  <c r="C237" i="31"/>
  <c r="A236" i="31"/>
  <c r="B236" i="31" s="1"/>
  <c r="B17" i="27" s="1"/>
  <c r="A240" i="51"/>
  <c r="C247" i="33"/>
  <c r="A246" i="33"/>
  <c r="C248" i="33" l="1"/>
  <c r="A247" i="33"/>
  <c r="C238" i="31"/>
  <c r="A237" i="31"/>
  <c r="B160" i="31"/>
  <c r="B9" i="24" s="1"/>
  <c r="B161" i="31"/>
  <c r="B10" i="24" s="1"/>
  <c r="B162" i="31"/>
  <c r="B11" i="24" s="1"/>
  <c r="B163" i="31"/>
  <c r="B12" i="24" s="1"/>
  <c r="B164" i="31"/>
  <c r="B13" i="24" s="1"/>
  <c r="B165" i="31"/>
  <c r="B14" i="24" s="1"/>
  <c r="B166" i="31"/>
  <c r="B15" i="24" s="1"/>
  <c r="B167" i="31"/>
  <c r="B16" i="24" s="1"/>
  <c r="B168" i="31"/>
  <c r="B17" i="24" s="1"/>
  <c r="B169" i="31"/>
  <c r="B18" i="24" s="1"/>
  <c r="B170" i="31"/>
  <c r="B19" i="24" s="1"/>
  <c r="B171" i="31"/>
  <c r="B20" i="24" s="1"/>
  <c r="B172" i="31"/>
  <c r="B21" i="24" s="1"/>
  <c r="B173" i="31"/>
  <c r="B22" i="24" s="1"/>
  <c r="B174" i="31"/>
  <c r="B23" i="24" s="1"/>
  <c r="B175" i="31"/>
  <c r="B24" i="24" s="1"/>
  <c r="B176" i="31"/>
  <c r="B25" i="24" s="1"/>
  <c r="B177" i="31"/>
  <c r="B26" i="24" s="1"/>
  <c r="B178" i="31"/>
  <c r="B27" i="24" s="1"/>
  <c r="B179" i="31"/>
  <c r="B1" i="25" s="1"/>
  <c r="B180" i="31"/>
  <c r="B9" i="25" s="1"/>
  <c r="B181" i="31"/>
  <c r="B10" i="25" s="1"/>
  <c r="B182" i="31"/>
  <c r="B11" i="25" s="1"/>
  <c r="B183" i="31"/>
  <c r="B12" i="25" s="1"/>
  <c r="B184" i="31"/>
  <c r="B13" i="25" s="1"/>
  <c r="B185" i="31"/>
  <c r="B14" i="25" s="1"/>
  <c r="B186" i="31"/>
  <c r="B15" i="25" s="1"/>
  <c r="B187" i="31"/>
  <c r="B16" i="25" s="1"/>
  <c r="B188" i="31"/>
  <c r="B17" i="25" s="1"/>
  <c r="B189" i="31"/>
  <c r="B18" i="25" s="1"/>
  <c r="B190" i="31"/>
  <c r="B19" i="25" s="1"/>
  <c r="B191" i="31"/>
  <c r="B20" i="25" s="1"/>
  <c r="B192" i="31"/>
  <c r="B21" i="25" s="1"/>
  <c r="B193" i="31"/>
  <c r="B22" i="25" s="1"/>
  <c r="B194" i="31"/>
  <c r="B23" i="25" s="1"/>
  <c r="B195" i="31"/>
  <c r="B24" i="25" s="1"/>
  <c r="B196" i="31"/>
  <c r="B25" i="25" s="1"/>
  <c r="B197" i="31"/>
  <c r="B26" i="25" s="1"/>
  <c r="B198" i="31"/>
  <c r="B27" i="25" s="1"/>
  <c r="B199" i="31"/>
  <c r="B28" i="25" s="1"/>
  <c r="B200" i="31"/>
  <c r="B29" i="25" s="1"/>
  <c r="B201" i="31"/>
  <c r="B30" i="25" s="1"/>
  <c r="B202" i="31"/>
  <c r="B31" i="25" s="1"/>
  <c r="B203" i="31"/>
  <c r="B32" i="25" s="1"/>
  <c r="B204" i="31"/>
  <c r="B33" i="25" s="1"/>
  <c r="B205" i="31"/>
  <c r="B34" i="25" s="1"/>
  <c r="B206" i="31"/>
  <c r="B35" i="25" s="1"/>
  <c r="B207" i="31"/>
  <c r="B36" i="25" s="1"/>
  <c r="B208" i="31"/>
  <c r="B37" i="25" s="1"/>
  <c r="B209" i="31"/>
  <c r="B38" i="25" s="1"/>
  <c r="B210" i="31"/>
  <c r="B39" i="25" s="1"/>
  <c r="B211" i="31"/>
  <c r="B40" i="25" s="1"/>
  <c r="B212" i="31"/>
  <c r="B41" i="25" s="1"/>
  <c r="B213" i="31"/>
  <c r="B42" i="25" s="1"/>
  <c r="B214" i="31"/>
  <c r="B1" i="26" s="1"/>
  <c r="B215" i="31"/>
  <c r="B9" i="26" s="1"/>
  <c r="B216" i="31"/>
  <c r="B10" i="26" s="1"/>
  <c r="B217" i="31"/>
  <c r="B11" i="26" s="1"/>
  <c r="B218" i="31"/>
  <c r="B12" i="26" s="1"/>
  <c r="B219" i="31"/>
  <c r="B13" i="26" s="1"/>
  <c r="B220" i="31"/>
  <c r="B14" i="26" s="1"/>
  <c r="B221" i="31"/>
  <c r="B15" i="26" s="1"/>
  <c r="B222" i="31"/>
  <c r="B16" i="26" s="1"/>
  <c r="B223" i="31"/>
  <c r="B17" i="26" s="1"/>
  <c r="B224" i="31"/>
  <c r="B18" i="26" s="1"/>
  <c r="B225" i="31"/>
  <c r="B19" i="26" s="1"/>
  <c r="B226" i="31"/>
  <c r="B20" i="26" s="1"/>
  <c r="B227" i="31"/>
  <c r="B1" i="27" s="1"/>
  <c r="B228" i="31"/>
  <c r="B9" i="27" s="1"/>
  <c r="B229" i="31"/>
  <c r="B10" i="27" s="1"/>
  <c r="B230" i="31"/>
  <c r="B11" i="27" s="1"/>
  <c r="B231" i="31"/>
  <c r="B12" i="27" s="1"/>
  <c r="B232" i="31"/>
  <c r="B13" i="27" s="1"/>
  <c r="B233" i="31"/>
  <c r="B14" i="27" s="1"/>
  <c r="B234" i="31"/>
  <c r="B15" i="27" s="1"/>
  <c r="A241" i="51"/>
  <c r="B20" i="40" l="1"/>
  <c r="B21" i="26"/>
  <c r="B15" i="19"/>
  <c r="C239" i="31"/>
  <c r="A238" i="31"/>
  <c r="C249" i="33"/>
  <c r="A248" i="33"/>
  <c r="A242" i="51"/>
  <c r="B37" i="27"/>
  <c r="B18" i="19"/>
  <c r="B23" i="40"/>
  <c r="B43" i="25"/>
  <c r="B19" i="40"/>
  <c r="B14" i="19"/>
  <c r="B237" i="31"/>
  <c r="B18" i="27" s="1"/>
  <c r="C240" i="31" l="1"/>
  <c r="A239" i="31"/>
  <c r="C250" i="33"/>
  <c r="A249" i="33"/>
  <c r="A243" i="51"/>
  <c r="C251" i="33" l="1"/>
  <c r="A250" i="33"/>
  <c r="A244" i="51"/>
  <c r="C241" i="31"/>
  <c r="A240" i="31"/>
  <c r="C208" i="51"/>
  <c r="C207" i="51"/>
  <c r="C209" i="51"/>
  <c r="C210" i="51"/>
  <c r="C211" i="51"/>
  <c r="C212" i="51"/>
  <c r="C213" i="51"/>
  <c r="C214" i="51"/>
  <c r="C215" i="51"/>
  <c r="C216" i="51"/>
  <c r="C217" i="51"/>
  <c r="C218" i="51"/>
  <c r="C219" i="51"/>
  <c r="C220" i="51"/>
  <c r="C221" i="51"/>
  <c r="C222" i="51"/>
  <c r="C223" i="51"/>
  <c r="C224" i="51"/>
  <c r="C225" i="51"/>
  <c r="C226" i="51"/>
  <c r="C227" i="51"/>
  <c r="C228" i="51"/>
  <c r="C229" i="51"/>
  <c r="C230" i="51"/>
  <c r="C231" i="51"/>
  <c r="C232" i="51"/>
  <c r="C233" i="51"/>
  <c r="C234" i="51"/>
  <c r="C235" i="51"/>
  <c r="C236" i="51"/>
  <c r="C237" i="51"/>
  <c r="C238" i="51"/>
  <c r="C239" i="51"/>
  <c r="C240" i="51"/>
  <c r="C242" i="31" l="1"/>
  <c r="A241" i="31"/>
  <c r="C225" i="48"/>
  <c r="C240" i="48"/>
  <c r="C221" i="48"/>
  <c r="C236" i="48"/>
  <c r="C215" i="48"/>
  <c r="C238" i="48"/>
  <c r="C222" i="48"/>
  <c r="C207" i="48"/>
  <c r="C237" i="48"/>
  <c r="C213" i="48"/>
  <c r="C228" i="48"/>
  <c r="C209" i="48"/>
  <c r="C224" i="48"/>
  <c r="C239" i="48"/>
  <c r="C218" i="48"/>
  <c r="C217" i="48"/>
  <c r="C232" i="48"/>
  <c r="C220" i="48"/>
  <c r="C235" i="48"/>
  <c r="C227" i="48"/>
  <c r="C211" i="48"/>
  <c r="C208" i="48"/>
  <c r="C223" i="48"/>
  <c r="C216" i="48"/>
  <c r="C226" i="48"/>
  <c r="C219" i="48"/>
  <c r="C214" i="48"/>
  <c r="C233" i="48"/>
  <c r="C210" i="48"/>
  <c r="C234" i="48"/>
  <c r="C229" i="48"/>
  <c r="C230" i="48"/>
  <c r="C231" i="48"/>
  <c r="C212" i="48"/>
  <c r="A245" i="51"/>
  <c r="C252" i="33"/>
  <c r="A251" i="33"/>
  <c r="A246" i="51" l="1"/>
  <c r="C253" i="33"/>
  <c r="A252" i="33"/>
  <c r="C243" i="31"/>
  <c r="A242" i="31"/>
  <c r="C244" i="31" l="1"/>
  <c r="A243" i="31"/>
  <c r="C254" i="33"/>
  <c r="A253" i="33"/>
  <c r="A247" i="51"/>
  <c r="C255" i="33" l="1"/>
  <c r="A254" i="33"/>
  <c r="A248" i="51"/>
  <c r="C245" i="31"/>
  <c r="A244" i="31"/>
  <c r="A249" i="51" l="1"/>
  <c r="C246" i="31"/>
  <c r="A245" i="31"/>
  <c r="C256" i="33"/>
  <c r="A255" i="33"/>
  <c r="C257" i="33" l="1"/>
  <c r="A256" i="33"/>
  <c r="C247" i="31"/>
  <c r="A246" i="31"/>
  <c r="A250" i="51"/>
  <c r="A251" i="51" l="1"/>
  <c r="C258" i="33"/>
  <c r="A257" i="33"/>
  <c r="C248" i="31"/>
  <c r="A247" i="31"/>
  <c r="C259" i="33" l="1"/>
  <c r="A258" i="33"/>
  <c r="C249" i="31"/>
  <c r="A248" i="31"/>
  <c r="A252" i="51"/>
  <c r="C260" i="33" l="1"/>
  <c r="A259" i="33"/>
  <c r="A253" i="51"/>
  <c r="C250" i="31"/>
  <c r="A249" i="31"/>
  <c r="A254" i="51" l="1"/>
  <c r="C251" i="31"/>
  <c r="A250" i="31"/>
  <c r="C261" i="33"/>
  <c r="A260" i="33"/>
  <c r="C262" i="33" l="1"/>
  <c r="A261" i="33"/>
  <c r="A255" i="51"/>
  <c r="C252" i="31"/>
  <c r="A251" i="31"/>
  <c r="A256" i="51" l="1"/>
  <c r="C253" i="31"/>
  <c r="A252" i="31"/>
  <c r="C263" i="33"/>
  <c r="A262" i="33"/>
  <c r="A257" i="51" l="1"/>
  <c r="C254" i="31"/>
  <c r="A253" i="31"/>
  <c r="C264" i="33"/>
  <c r="A263" i="33"/>
  <c r="C255" i="31" l="1"/>
  <c r="A254" i="31"/>
  <c r="A258" i="51"/>
  <c r="C265" i="33"/>
  <c r="A264" i="33"/>
  <c r="A259" i="51" l="1"/>
  <c r="C266" i="33"/>
  <c r="A265" i="33"/>
  <c r="C256" i="31"/>
  <c r="A255" i="31"/>
  <c r="C257" i="31" l="1"/>
  <c r="A256" i="31"/>
  <c r="B256" i="31" s="1"/>
  <c r="B238" i="31"/>
  <c r="B19" i="27" s="1"/>
  <c r="B239" i="31"/>
  <c r="B20" i="27" s="1"/>
  <c r="B240" i="31"/>
  <c r="B21" i="27" s="1"/>
  <c r="B241" i="31"/>
  <c r="B22" i="27" s="1"/>
  <c r="B242" i="31"/>
  <c r="B23" i="27" s="1"/>
  <c r="B243" i="31"/>
  <c r="B24" i="27" s="1"/>
  <c r="B244" i="31"/>
  <c r="B25" i="27" s="1"/>
  <c r="B245" i="31"/>
  <c r="B26" i="27" s="1"/>
  <c r="B246" i="31"/>
  <c r="B27" i="27" s="1"/>
  <c r="B247" i="31"/>
  <c r="B28" i="27" s="1"/>
  <c r="B248" i="31"/>
  <c r="B29" i="27" s="1"/>
  <c r="B249" i="31"/>
  <c r="B30" i="27" s="1"/>
  <c r="B250" i="31"/>
  <c r="B31" i="27" s="1"/>
  <c r="B251" i="31"/>
  <c r="B32" i="27" s="1"/>
  <c r="B252" i="31"/>
  <c r="B33" i="27" s="1"/>
  <c r="B253" i="31"/>
  <c r="B34" i="27" s="1"/>
  <c r="B255" i="31"/>
  <c r="B36" i="27" s="1"/>
  <c r="C267" i="33"/>
  <c r="A266" i="33"/>
  <c r="B254" i="31"/>
  <c r="B35" i="27" s="1"/>
  <c r="A260" i="51"/>
  <c r="A261" i="51" l="1"/>
  <c r="C268" i="33"/>
  <c r="A267" i="33"/>
  <c r="C258" i="31"/>
  <c r="A257" i="31"/>
  <c r="C242" i="51"/>
  <c r="C241" i="51"/>
  <c r="C243" i="51"/>
  <c r="C244" i="51"/>
  <c r="C245" i="51"/>
  <c r="C246" i="51"/>
  <c r="C247" i="51"/>
  <c r="C248" i="51"/>
  <c r="C249" i="51"/>
  <c r="C250" i="51"/>
  <c r="C251" i="51"/>
  <c r="C252" i="51"/>
  <c r="C253" i="51"/>
  <c r="C254" i="51"/>
  <c r="C255" i="51"/>
  <c r="C256" i="51"/>
  <c r="C257" i="51"/>
  <c r="C242" i="48" l="1"/>
  <c r="C250" i="48"/>
  <c r="C247" i="48"/>
  <c r="C249" i="48"/>
  <c r="C252" i="48"/>
  <c r="C254" i="48"/>
  <c r="C244" i="48"/>
  <c r="C243" i="48"/>
  <c r="C251" i="48"/>
  <c r="C245" i="48"/>
  <c r="C255" i="48"/>
  <c r="C248" i="48"/>
  <c r="C256" i="48"/>
  <c r="C253" i="48"/>
  <c r="C246" i="48"/>
  <c r="C241" i="48"/>
  <c r="C269" i="33"/>
  <c r="A268" i="33"/>
  <c r="C259" i="31"/>
  <c r="A258" i="31"/>
  <c r="C257" i="48" s="1"/>
  <c r="A262" i="51"/>
  <c r="C260" i="31" l="1"/>
  <c r="A259" i="31"/>
  <c r="A263" i="51"/>
  <c r="C270" i="33"/>
  <c r="A269" i="33"/>
  <c r="A264" i="51" l="1"/>
  <c r="C271" i="33"/>
  <c r="A270" i="33"/>
  <c r="C261" i="31"/>
  <c r="A260" i="31"/>
  <c r="C262" i="31" l="1"/>
  <c r="A261" i="31"/>
  <c r="A265" i="51"/>
  <c r="C272" i="33"/>
  <c r="A271" i="33"/>
  <c r="A266" i="51" l="1"/>
  <c r="C273" i="33"/>
  <c r="A272" i="33"/>
  <c r="C263" i="31"/>
  <c r="A262" i="31"/>
  <c r="C264" i="31" l="1"/>
  <c r="A263" i="31"/>
  <c r="C274" i="33"/>
  <c r="A273" i="33"/>
  <c r="A267" i="51"/>
  <c r="C275" i="33" l="1"/>
  <c r="A274" i="33"/>
  <c r="A268" i="51"/>
  <c r="C265" i="31"/>
  <c r="A264" i="31"/>
  <c r="A269" i="51" l="1"/>
  <c r="C276" i="33"/>
  <c r="A275" i="33"/>
  <c r="C266" i="31"/>
  <c r="C265" i="51" s="1"/>
  <c r="A265" i="31"/>
  <c r="C259" i="51"/>
  <c r="C258" i="51"/>
  <c r="C260" i="51"/>
  <c r="C261" i="51"/>
  <c r="C262" i="51"/>
  <c r="C263" i="51"/>
  <c r="C264" i="51"/>
  <c r="B265" i="31" l="1"/>
  <c r="B17" i="28" s="1"/>
  <c r="C263" i="48"/>
  <c r="C264" i="48"/>
  <c r="C260" i="48"/>
  <c r="C262" i="48"/>
  <c r="C259" i="48"/>
  <c r="C261" i="48"/>
  <c r="C258" i="48"/>
  <c r="C267" i="31"/>
  <c r="A266" i="31"/>
  <c r="B266" i="31" s="1"/>
  <c r="B18" i="28" s="1"/>
  <c r="B257" i="31"/>
  <c r="B9" i="28" s="1"/>
  <c r="B258" i="31"/>
  <c r="B10" i="28" s="1"/>
  <c r="B259" i="31"/>
  <c r="B11" i="28" s="1"/>
  <c r="B260" i="31"/>
  <c r="B12" i="28" s="1"/>
  <c r="B261" i="31"/>
  <c r="B13" i="28" s="1"/>
  <c r="B262" i="31"/>
  <c r="B14" i="28" s="1"/>
  <c r="B263" i="31"/>
  <c r="B15" i="28" s="1"/>
  <c r="A270" i="51"/>
  <c r="C277" i="33"/>
  <c r="A276" i="33"/>
  <c r="B264" i="31"/>
  <c r="B16" i="28" s="1"/>
  <c r="A271" i="51" l="1"/>
  <c r="C268" i="31"/>
  <c r="A267" i="31"/>
  <c r="C278" i="33"/>
  <c r="A277" i="33"/>
  <c r="C269" i="31" l="1"/>
  <c r="A268" i="31"/>
  <c r="C279" i="33"/>
  <c r="A278" i="33"/>
  <c r="A272" i="51"/>
  <c r="A273" i="51" l="1"/>
  <c r="C270" i="31"/>
  <c r="A269" i="31"/>
  <c r="C266" i="51"/>
  <c r="C267" i="51"/>
  <c r="C268" i="51"/>
  <c r="C280" i="33"/>
  <c r="A279" i="33"/>
  <c r="A270" i="31" l="1"/>
  <c r="C271" i="31"/>
  <c r="C281" i="33"/>
  <c r="A280" i="33"/>
  <c r="C269" i="51"/>
  <c r="C272" i="31" l="1"/>
  <c r="A271" i="31"/>
  <c r="B271" i="31" s="1"/>
  <c r="B23" i="28" s="1"/>
  <c r="C271" i="51"/>
  <c r="B267" i="31"/>
  <c r="B19" i="28" s="1"/>
  <c r="B268" i="31"/>
  <c r="B20" i="28" s="1"/>
  <c r="C270" i="51"/>
  <c r="B269" i="31"/>
  <c r="B21" i="28" s="1"/>
  <c r="C282" i="33"/>
  <c r="A281" i="33"/>
  <c r="B270" i="31"/>
  <c r="B22" i="28" s="1"/>
  <c r="C283" i="33" l="1"/>
  <c r="A282" i="33"/>
  <c r="C273" i="31"/>
  <c r="A272" i="31"/>
  <c r="A273" i="31" l="1"/>
  <c r="B273" i="31" s="1"/>
  <c r="B25" i="28" s="1"/>
  <c r="C266" i="48"/>
  <c r="C270" i="48"/>
  <c r="C271" i="48"/>
  <c r="C273" i="48"/>
  <c r="C265" i="48"/>
  <c r="C267" i="48"/>
  <c r="C269" i="48"/>
  <c r="C268" i="48"/>
  <c r="C272" i="48"/>
  <c r="C272" i="51"/>
  <c r="C273" i="51"/>
  <c r="C284" i="33"/>
  <c r="A283" i="33"/>
  <c r="B272" i="31"/>
  <c r="B24" i="28" s="1"/>
  <c r="C285" i="33" l="1"/>
  <c r="A284" i="33"/>
  <c r="C286" i="33" l="1"/>
  <c r="A285" i="33"/>
  <c r="C287" i="33" l="1"/>
  <c r="A286" i="33"/>
  <c r="C288" i="33" l="1"/>
  <c r="A287" i="33"/>
  <c r="C289" i="33" l="1"/>
  <c r="A288" i="33"/>
  <c r="C290" i="33" l="1"/>
  <c r="A289" i="33"/>
  <c r="C291" i="33" l="1"/>
  <c r="A290" i="33"/>
  <c r="C292" i="33" l="1"/>
  <c r="A291" i="33"/>
  <c r="C293" i="33" l="1"/>
  <c r="A292" i="33"/>
  <c r="C294" i="33" l="1"/>
  <c r="A293" i="33"/>
  <c r="C295" i="33" l="1"/>
  <c r="A294" i="33"/>
  <c r="C296" i="33" l="1"/>
  <c r="A295" i="33"/>
  <c r="C297" i="33" l="1"/>
  <c r="A296" i="33"/>
  <c r="C298" i="33" l="1"/>
  <c r="A297" i="33"/>
  <c r="C299" i="33" l="1"/>
  <c r="A298" i="33"/>
  <c r="C300" i="33" l="1"/>
  <c r="A299" i="33"/>
  <c r="C301" i="33" l="1"/>
  <c r="A300" i="33"/>
  <c r="C302" i="33" l="1"/>
  <c r="A301" i="33"/>
  <c r="C303" i="33" l="1"/>
  <c r="A302" i="33"/>
  <c r="C304" i="33" l="1"/>
  <c r="A303" i="33"/>
  <c r="C305" i="33" l="1"/>
  <c r="A304" i="33"/>
  <c r="C306" i="33" l="1"/>
  <c r="A305" i="33"/>
  <c r="C307" i="33" l="1"/>
  <c r="A306" i="33"/>
  <c r="C308" i="33" l="1"/>
  <c r="A307" i="33"/>
  <c r="C309" i="33" l="1"/>
  <c r="A308" i="33"/>
  <c r="C310" i="33" l="1"/>
  <c r="A309" i="33"/>
  <c r="C311" i="33" l="1"/>
  <c r="A310" i="33"/>
  <c r="C312" i="33" l="1"/>
  <c r="A311" i="33"/>
  <c r="C313" i="33" l="1"/>
  <c r="A312" i="33"/>
  <c r="C314" i="33" l="1"/>
  <c r="A313" i="33"/>
  <c r="C315" i="33" l="1"/>
  <c r="A314" i="33"/>
  <c r="B314" i="33" s="1"/>
  <c r="B313" i="33"/>
  <c r="B16" i="33" l="1"/>
  <c r="B11" i="33"/>
  <c r="B9" i="33"/>
  <c r="B20" i="33"/>
  <c r="C316" i="33"/>
  <c r="B594" i="33"/>
  <c r="B590" i="33"/>
  <c r="B586" i="33"/>
  <c r="B595" i="33"/>
  <c r="B589" i="33"/>
  <c r="B591" i="33"/>
  <c r="B593" i="33"/>
  <c r="B588" i="33"/>
  <c r="A315" i="33"/>
  <c r="B315" i="33" s="1"/>
  <c r="B596" i="33"/>
  <c r="B597" i="33"/>
  <c r="B592" i="33"/>
  <c r="B587" i="33"/>
  <c r="B18" i="33"/>
  <c r="B12" i="33"/>
  <c r="B4" i="33"/>
  <c r="B8" i="33"/>
  <c r="B14" i="33"/>
  <c r="B6" i="33"/>
  <c r="B17" i="33"/>
  <c r="B15" i="33"/>
  <c r="B10" i="33"/>
  <c r="B5" i="33"/>
  <c r="B21" i="33"/>
  <c r="B23" i="33"/>
  <c r="B24" i="33"/>
  <c r="B25" i="33"/>
  <c r="B26" i="33"/>
  <c r="B27" i="33"/>
  <c r="B28" i="33"/>
  <c r="B30" i="33"/>
  <c r="B31" i="33"/>
  <c r="B32" i="33"/>
  <c r="B34" i="33"/>
  <c r="B35" i="33"/>
  <c r="B36" i="33"/>
  <c r="B38" i="33"/>
  <c r="B39" i="33"/>
  <c r="B41" i="33"/>
  <c r="E35" i="4" s="1"/>
  <c r="G35" i="4" s="1"/>
  <c r="B42" i="33"/>
  <c r="B43" i="33"/>
  <c r="B45" i="33"/>
  <c r="B46" i="33"/>
  <c r="B47" i="33"/>
  <c r="B48" i="33"/>
  <c r="B50" i="33"/>
  <c r="B51" i="33"/>
  <c r="B52" i="33"/>
  <c r="B54" i="33"/>
  <c r="B55" i="33"/>
  <c r="D72" i="20" s="1"/>
  <c r="B57" i="33"/>
  <c r="C63" i="20" s="1"/>
  <c r="B58" i="33"/>
  <c r="C64" i="20" s="1"/>
  <c r="B59" i="33"/>
  <c r="C65" i="20" s="1"/>
  <c r="B60" i="33"/>
  <c r="C66" i="20" s="1"/>
  <c r="B61" i="33"/>
  <c r="C67" i="20" s="1"/>
  <c r="B62" i="33"/>
  <c r="C68" i="20" s="1"/>
  <c r="B64" i="33"/>
  <c r="B65" i="33"/>
  <c r="B66" i="33"/>
  <c r="B67" i="33"/>
  <c r="B69" i="33"/>
  <c r="B70" i="33"/>
  <c r="B71" i="33"/>
  <c r="B73" i="33"/>
  <c r="B74" i="33"/>
  <c r="B75" i="33"/>
  <c r="B76" i="33"/>
  <c r="B78" i="33"/>
  <c r="B79" i="33"/>
  <c r="B80" i="33"/>
  <c r="B82" i="33"/>
  <c r="E28" i="24" s="1"/>
  <c r="G28" i="24" s="1"/>
  <c r="B83" i="33"/>
  <c r="B84" i="33"/>
  <c r="B86" i="33"/>
  <c r="B87" i="33"/>
  <c r="B89" i="33"/>
  <c r="B90" i="33"/>
  <c r="B91" i="33"/>
  <c r="B93" i="33"/>
  <c r="B94" i="33"/>
  <c r="B95" i="33"/>
  <c r="B97" i="33"/>
  <c r="B98" i="33"/>
  <c r="B100" i="33"/>
  <c r="B101" i="33"/>
  <c r="B103" i="33"/>
  <c r="B104" i="33"/>
  <c r="B106" i="33"/>
  <c r="B107" i="33"/>
  <c r="B108" i="33"/>
  <c r="B110" i="33"/>
  <c r="B111" i="33"/>
  <c r="B113" i="33"/>
  <c r="B114" i="33"/>
  <c r="B115" i="33"/>
  <c r="B117" i="33"/>
  <c r="B118" i="33"/>
  <c r="B119" i="33"/>
  <c r="B120" i="33"/>
  <c r="B122" i="33"/>
  <c r="B123" i="33"/>
  <c r="B124" i="33"/>
  <c r="B125" i="33"/>
  <c r="B127" i="33"/>
  <c r="B128" i="33"/>
  <c r="B129" i="33"/>
  <c r="B130" i="33"/>
  <c r="B132" i="33"/>
  <c r="B133" i="33"/>
  <c r="B134" i="33"/>
  <c r="B136" i="33"/>
  <c r="B137" i="33"/>
  <c r="B139" i="33"/>
  <c r="B140" i="33"/>
  <c r="B141" i="33"/>
  <c r="B142" i="33"/>
  <c r="B144" i="33"/>
  <c r="B145" i="33"/>
  <c r="B146" i="33"/>
  <c r="B147" i="33"/>
  <c r="B149" i="33"/>
  <c r="B150" i="33"/>
  <c r="B151" i="33"/>
  <c r="B152" i="33"/>
  <c r="B153" i="33"/>
  <c r="B155" i="33"/>
  <c r="B156" i="33"/>
  <c r="B157" i="33"/>
  <c r="B159" i="33"/>
  <c r="B160" i="33"/>
  <c r="B161" i="33"/>
  <c r="B163" i="33"/>
  <c r="B164" i="33"/>
  <c r="B165" i="33"/>
  <c r="B166" i="33"/>
  <c r="B168" i="33"/>
  <c r="B169" i="33"/>
  <c r="B170" i="33"/>
  <c r="B171" i="33"/>
  <c r="B173" i="33"/>
  <c r="B174" i="33"/>
  <c r="B175" i="33"/>
  <c r="B177" i="33"/>
  <c r="B178" i="33"/>
  <c r="B180" i="33"/>
  <c r="B181" i="33"/>
  <c r="B183" i="33"/>
  <c r="E33" i="25" s="1"/>
  <c r="B184" i="33"/>
  <c r="B186" i="33"/>
  <c r="B187" i="33"/>
  <c r="B188" i="33"/>
  <c r="B190" i="33"/>
  <c r="B191" i="33"/>
  <c r="B192" i="33"/>
  <c r="B194" i="33"/>
  <c r="B195" i="33"/>
  <c r="B196" i="33"/>
  <c r="B197" i="33"/>
  <c r="B199" i="33"/>
  <c r="B200" i="33"/>
  <c r="B201" i="33"/>
  <c r="B202" i="33"/>
  <c r="B204" i="33"/>
  <c r="B205" i="33"/>
  <c r="B206" i="33"/>
  <c r="B207" i="33"/>
  <c r="B209" i="33"/>
  <c r="B210" i="33"/>
  <c r="B211" i="33"/>
  <c r="B212" i="33"/>
  <c r="B214" i="33"/>
  <c r="B215" i="33"/>
  <c r="B216" i="33"/>
  <c r="B217" i="33"/>
  <c r="B219" i="33"/>
  <c r="B220" i="33"/>
  <c r="B221" i="33"/>
  <c r="B222" i="33"/>
  <c r="B224" i="33"/>
  <c r="B225" i="33"/>
  <c r="B226" i="33"/>
  <c r="B228" i="33"/>
  <c r="B229" i="33"/>
  <c r="B230" i="33"/>
  <c r="B231" i="33"/>
  <c r="B233" i="33"/>
  <c r="B234" i="33"/>
  <c r="B235" i="33"/>
  <c r="B236" i="33"/>
  <c r="B237" i="33"/>
  <c r="B238" i="33"/>
  <c r="B239" i="33"/>
  <c r="B240" i="33"/>
  <c r="B241" i="33"/>
  <c r="B242" i="33"/>
  <c r="B243" i="33"/>
  <c r="B244" i="33"/>
  <c r="B245" i="33"/>
  <c r="B246" i="33"/>
  <c r="B247" i="33"/>
  <c r="B248" i="33"/>
  <c r="B249" i="33"/>
  <c r="B250" i="33"/>
  <c r="B251" i="33"/>
  <c r="B252" i="33"/>
  <c r="B253" i="33"/>
  <c r="B254" i="33"/>
  <c r="B255" i="33"/>
  <c r="B256" i="33"/>
  <c r="B257" i="33"/>
  <c r="B258" i="33"/>
  <c r="B259" i="33"/>
  <c r="B260" i="33"/>
  <c r="B261" i="33"/>
  <c r="B262" i="33"/>
  <c r="B263" i="33"/>
  <c r="B264" i="33"/>
  <c r="B265" i="33"/>
  <c r="B266" i="33"/>
  <c r="B267" i="33"/>
  <c r="B268" i="33"/>
  <c r="B269" i="33"/>
  <c r="B270" i="33"/>
  <c r="B271" i="33"/>
  <c r="B272" i="33"/>
  <c r="B273" i="33"/>
  <c r="B274" i="33"/>
  <c r="B275" i="33"/>
  <c r="B276" i="33"/>
  <c r="B277" i="33"/>
  <c r="B278" i="33"/>
  <c r="B279" i="33"/>
  <c r="B280" i="33"/>
  <c r="B281" i="33"/>
  <c r="B282" i="33"/>
  <c r="B283" i="33"/>
  <c r="B284" i="33"/>
  <c r="B285" i="33"/>
  <c r="B286" i="33"/>
  <c r="B287" i="33"/>
  <c r="B288" i="33"/>
  <c r="B289" i="33"/>
  <c r="B290" i="33"/>
  <c r="B291" i="33"/>
  <c r="B292" i="33"/>
  <c r="B293" i="33"/>
  <c r="B294" i="33"/>
  <c r="B295" i="33"/>
  <c r="B296" i="33"/>
  <c r="B297" i="33"/>
  <c r="B298" i="33"/>
  <c r="B299" i="33"/>
  <c r="B300" i="33"/>
  <c r="B301" i="33"/>
  <c r="B302" i="33"/>
  <c r="B303" i="33"/>
  <c r="B304" i="33"/>
  <c r="B305" i="33"/>
  <c r="B306" i="33"/>
  <c r="B307" i="33"/>
  <c r="B308" i="33"/>
  <c r="B309" i="33"/>
  <c r="B310" i="33"/>
  <c r="B311" i="33"/>
  <c r="B312" i="33"/>
  <c r="E24" i="4" l="1"/>
  <c r="E25" i="4"/>
  <c r="C9" i="40"/>
  <c r="G1" i="40" s="1"/>
  <c r="C16" i="2"/>
  <c r="E18" i="24"/>
  <c r="G18" i="24" s="1"/>
  <c r="E10" i="20"/>
  <c r="G10" i="20" s="1"/>
  <c r="E9" i="20"/>
  <c r="G9" i="20" s="1"/>
  <c r="E26" i="4"/>
  <c r="G26" i="4" s="1"/>
  <c r="E36" i="20"/>
  <c r="E16" i="21"/>
  <c r="G16" i="21" s="1"/>
  <c r="E21" i="21"/>
  <c r="E25" i="21"/>
  <c r="C4" i="25"/>
  <c r="E12" i="30"/>
  <c r="G12" i="30" s="1"/>
  <c r="E20" i="21"/>
  <c r="E19" i="21" s="1"/>
  <c r="G19" i="21" s="1"/>
  <c r="E24" i="21"/>
  <c r="E23" i="21" s="1"/>
  <c r="G23" i="21" s="1"/>
  <c r="E18" i="21"/>
  <c r="G18" i="21" s="1"/>
  <c r="E17" i="21"/>
  <c r="G17" i="21" s="1"/>
  <c r="E11" i="30"/>
  <c r="G11" i="30" s="1"/>
  <c r="E22" i="21"/>
  <c r="G22" i="21" s="1"/>
  <c r="E26" i="21"/>
  <c r="C5" i="21"/>
  <c r="E11" i="19" s="1"/>
  <c r="A43" i="30"/>
  <c r="A44" i="30"/>
  <c r="A45" i="30"/>
  <c r="A46" i="30"/>
  <c r="E18" i="26"/>
  <c r="G18" i="26" s="1"/>
  <c r="E32" i="25"/>
  <c r="E31" i="25" s="1"/>
  <c r="G31" i="25" s="1"/>
  <c r="E19" i="24"/>
  <c r="G19" i="24" s="1"/>
  <c r="E17" i="24"/>
  <c r="G17" i="24" s="1"/>
  <c r="E16" i="24"/>
  <c r="G16" i="24" s="1"/>
  <c r="E14" i="24"/>
  <c r="E13" i="24" s="1"/>
  <c r="G13" i="24" s="1"/>
  <c r="E15" i="24"/>
  <c r="E21" i="23"/>
  <c r="E22" i="23"/>
  <c r="E35" i="20"/>
  <c r="G35" i="20" s="1"/>
  <c r="G60" i="20"/>
  <c r="E34" i="20" s="1"/>
  <c r="G34" i="20" s="1"/>
  <c r="E33" i="20"/>
  <c r="G33" i="20" s="1"/>
  <c r="D71" i="20"/>
  <c r="D60" i="20" s="1"/>
  <c r="E27" i="4"/>
  <c r="G27" i="4" s="1"/>
  <c r="E26" i="24"/>
  <c r="E23" i="24"/>
  <c r="E31" i="24"/>
  <c r="E27" i="24"/>
  <c r="E25" i="24"/>
  <c r="E11" i="4"/>
  <c r="E18" i="4"/>
  <c r="E22" i="4"/>
  <c r="E30" i="4"/>
  <c r="E34" i="4"/>
  <c r="E30" i="24"/>
  <c r="E29" i="24" s="1"/>
  <c r="G29" i="24" s="1"/>
  <c r="C5" i="25"/>
  <c r="E14" i="19" s="1"/>
  <c r="E12" i="4"/>
  <c r="E19" i="4"/>
  <c r="E31" i="4"/>
  <c r="E36" i="4"/>
  <c r="G36" i="4" s="1"/>
  <c r="E20" i="24"/>
  <c r="G20" i="24" s="1"/>
  <c r="E10" i="4"/>
  <c r="E9" i="4" s="1"/>
  <c r="E21" i="4"/>
  <c r="E29" i="4"/>
  <c r="E32" i="20"/>
  <c r="E27" i="20"/>
  <c r="E16" i="20"/>
  <c r="E15" i="30"/>
  <c r="G15" i="30" s="1"/>
  <c r="E9" i="21"/>
  <c r="E31" i="21"/>
  <c r="E33" i="21"/>
  <c r="E9" i="23"/>
  <c r="G9" i="23" s="1"/>
  <c r="E14" i="23"/>
  <c r="E18" i="23"/>
  <c r="E38" i="25"/>
  <c r="E27" i="25"/>
  <c r="E22" i="25"/>
  <c r="G22" i="25" s="1"/>
  <c r="E17" i="25"/>
  <c r="E12" i="25"/>
  <c r="E13" i="26"/>
  <c r="G13" i="26" s="1"/>
  <c r="E17" i="26"/>
  <c r="G17" i="26" s="1"/>
  <c r="E19" i="26"/>
  <c r="G19" i="26" s="1"/>
  <c r="E22" i="24"/>
  <c r="E21" i="24" s="1"/>
  <c r="G21" i="24" s="1"/>
  <c r="E31" i="20"/>
  <c r="E26" i="20"/>
  <c r="E23" i="20"/>
  <c r="E15" i="20"/>
  <c r="E20" i="20"/>
  <c r="E13" i="21"/>
  <c r="G13" i="21" s="1"/>
  <c r="E15" i="21"/>
  <c r="G15" i="21" s="1"/>
  <c r="E32" i="21"/>
  <c r="E35" i="21"/>
  <c r="G35" i="21" s="1"/>
  <c r="E13" i="23"/>
  <c r="E17" i="23"/>
  <c r="E12" i="20"/>
  <c r="E17" i="30"/>
  <c r="G17" i="30" s="1"/>
  <c r="E10" i="23"/>
  <c r="G10" i="23" s="1"/>
  <c r="E19" i="23"/>
  <c r="E35" i="25"/>
  <c r="E28" i="25"/>
  <c r="E14" i="25"/>
  <c r="E19" i="25"/>
  <c r="E14" i="26"/>
  <c r="G14" i="26" s="1"/>
  <c r="E25" i="20"/>
  <c r="E24" i="20" s="1"/>
  <c r="G24" i="20" s="1"/>
  <c r="E14" i="20"/>
  <c r="E10" i="30"/>
  <c r="G10" i="30" s="1"/>
  <c r="E11" i="21"/>
  <c r="G11" i="21" s="1"/>
  <c r="E28" i="21"/>
  <c r="E27" i="21" s="1"/>
  <c r="G27" i="21" s="1"/>
  <c r="E34" i="21"/>
  <c r="E12" i="23"/>
  <c r="E39" i="25"/>
  <c r="G39" i="25" s="1"/>
  <c r="E36" i="25"/>
  <c r="E29" i="25"/>
  <c r="E24" i="25"/>
  <c r="E15" i="25"/>
  <c r="E20" i="25"/>
  <c r="E10" i="25"/>
  <c r="E15" i="26"/>
  <c r="G15" i="26" s="1"/>
  <c r="E20" i="26"/>
  <c r="G20" i="26" s="1"/>
  <c r="E16" i="4"/>
  <c r="E15" i="4" s="1"/>
  <c r="G15" i="4" s="1"/>
  <c r="E32" i="4"/>
  <c r="E17" i="4"/>
  <c r="E33" i="4"/>
  <c r="E30" i="20"/>
  <c r="E19" i="20"/>
  <c r="E16" i="23"/>
  <c r="E41" i="25"/>
  <c r="E30" i="25"/>
  <c r="E25" i="25"/>
  <c r="E11" i="25"/>
  <c r="E42" i="25"/>
  <c r="E23" i="25"/>
  <c r="G23" i="25" s="1"/>
  <c r="E12" i="26"/>
  <c r="E22" i="20"/>
  <c r="E21" i="20" s="1"/>
  <c r="G21" i="20" s="1"/>
  <c r="E18" i="25"/>
  <c r="E11" i="26"/>
  <c r="E18" i="20"/>
  <c r="E16" i="25"/>
  <c r="E16" i="26"/>
  <c r="G16" i="26" s="1"/>
  <c r="H101" i="31"/>
  <c r="E9" i="30"/>
  <c r="E29" i="21"/>
  <c r="I101" i="31"/>
  <c r="E15" i="23"/>
  <c r="E10" i="26"/>
  <c r="D101" i="31"/>
  <c r="E16" i="30"/>
  <c r="G16" i="30" s="1"/>
  <c r="E37" i="25"/>
  <c r="E29" i="20"/>
  <c r="B101" i="51"/>
  <c r="C5" i="30"/>
  <c r="E10" i="19" s="1"/>
  <c r="E16" i="19" s="1"/>
  <c r="E22" i="19" s="1"/>
  <c r="C4" i="21"/>
  <c r="F101" i="31"/>
  <c r="C4" i="30"/>
  <c r="E33" i="27"/>
  <c r="E22" i="27"/>
  <c r="E16" i="27"/>
  <c r="E20" i="27"/>
  <c r="E13" i="27"/>
  <c r="E22" i="28"/>
  <c r="G22" i="28" s="1"/>
  <c r="E11" i="28"/>
  <c r="E15" i="28"/>
  <c r="E19" i="28"/>
  <c r="E34" i="27"/>
  <c r="E27" i="27"/>
  <c r="E23" i="27"/>
  <c r="E17" i="27"/>
  <c r="E10" i="27"/>
  <c r="E9" i="27" s="1"/>
  <c r="G9" i="27" s="1"/>
  <c r="E14" i="27"/>
  <c r="E12" i="28"/>
  <c r="E16" i="28"/>
  <c r="E31" i="27"/>
  <c r="E30" i="27" s="1"/>
  <c r="G30" i="27" s="1"/>
  <c r="E28" i="27"/>
  <c r="E24" i="27"/>
  <c r="E18" i="27"/>
  <c r="E11" i="27"/>
  <c r="E20" i="28"/>
  <c r="E24" i="28"/>
  <c r="G24" i="28" s="1"/>
  <c r="E13" i="28"/>
  <c r="E17" i="28"/>
  <c r="A101" i="41"/>
  <c r="E32" i="27"/>
  <c r="E29" i="27"/>
  <c r="E25" i="27"/>
  <c r="E19" i="27"/>
  <c r="E12" i="27"/>
  <c r="E21" i="28"/>
  <c r="G21" i="28" s="1"/>
  <c r="E10" i="28"/>
  <c r="E9" i="28" s="1"/>
  <c r="G9" i="28" s="1"/>
  <c r="E14" i="28"/>
  <c r="E18" i="28"/>
  <c r="C3" i="30"/>
  <c r="C10" i="19" s="1"/>
  <c r="C16" i="19" s="1"/>
  <c r="C22" i="19" s="1"/>
  <c r="E36" i="27"/>
  <c r="G36" i="27" s="1"/>
  <c r="E11" i="24"/>
  <c r="E12" i="24"/>
  <c r="E10" i="24"/>
  <c r="E9" i="24" s="1"/>
  <c r="G9" i="24" s="1"/>
  <c r="E23" i="28"/>
  <c r="G23" i="28" s="1"/>
  <c r="E21" i="25"/>
  <c r="E26" i="23"/>
  <c r="G26" i="23" s="1"/>
  <c r="E25" i="23"/>
  <c r="G25" i="23" s="1"/>
  <c r="E24" i="23"/>
  <c r="G24" i="23" s="1"/>
  <c r="E23" i="23"/>
  <c r="E14" i="21"/>
  <c r="G14" i="21" s="1"/>
  <c r="E12" i="21"/>
  <c r="G12" i="21" s="1"/>
  <c r="E14" i="4"/>
  <c r="G14" i="4" s="1"/>
  <c r="D9" i="40"/>
  <c r="C17" i="2"/>
  <c r="C18" i="2" s="1"/>
  <c r="C317" i="33"/>
  <c r="A316" i="33"/>
  <c r="G34" i="27" l="1"/>
  <c r="E26" i="25"/>
  <c r="G26" i="25" s="1"/>
  <c r="E28" i="4"/>
  <c r="G28" i="4" s="1"/>
  <c r="C4" i="19"/>
  <c r="D4" i="19"/>
  <c r="E21" i="27"/>
  <c r="G21" i="27" s="1"/>
  <c r="A317" i="33"/>
  <c r="C318" i="33"/>
  <c r="E40" i="25"/>
  <c r="G40" i="25" s="1"/>
  <c r="E34" i="25"/>
  <c r="G34" i="25" s="1"/>
  <c r="E11" i="20"/>
  <c r="G11" i="20" s="1"/>
  <c r="G38" i="25"/>
  <c r="E20" i="4"/>
  <c r="G20" i="4" s="1"/>
  <c r="C6" i="21"/>
  <c r="D11" i="19"/>
  <c r="C6" i="30"/>
  <c r="D10" i="19"/>
  <c r="B101" i="48"/>
  <c r="B101" i="31"/>
  <c r="B14" i="30" s="1"/>
  <c r="E11" i="23"/>
  <c r="G11" i="23" s="1"/>
  <c r="E30" i="21"/>
  <c r="G30" i="21" s="1"/>
  <c r="G36" i="21" s="1"/>
  <c r="G9" i="4"/>
  <c r="E20" i="23"/>
  <c r="G20" i="23" s="1"/>
  <c r="F4" i="19"/>
  <c r="E1" i="2"/>
  <c r="E27" i="23"/>
  <c r="F3" i="23" s="1"/>
  <c r="G23" i="23"/>
  <c r="G20" i="28"/>
  <c r="G26" i="28" s="1"/>
  <c r="E26" i="28"/>
  <c r="F3" i="28" s="1"/>
  <c r="E26" i="27"/>
  <c r="G26" i="27" s="1"/>
  <c r="E15" i="27"/>
  <c r="G15" i="27" s="1"/>
  <c r="G37" i="27" s="1"/>
  <c r="E28" i="20"/>
  <c r="G28" i="20" s="1"/>
  <c r="E9" i="26"/>
  <c r="G9" i="26" s="1"/>
  <c r="E18" i="30"/>
  <c r="F3" i="30" s="1"/>
  <c r="G9" i="30"/>
  <c r="G18" i="30" s="1"/>
  <c r="G12" i="26"/>
  <c r="E9" i="25"/>
  <c r="G9" i="25" s="1"/>
  <c r="E13" i="25"/>
  <c r="G13" i="25" s="1"/>
  <c r="E36" i="21"/>
  <c r="F3" i="21" s="1"/>
  <c r="G9" i="21"/>
  <c r="E24" i="24"/>
  <c r="C6" i="25"/>
  <c r="D14" i="19"/>
  <c r="E37" i="20"/>
  <c r="F3" i="20" s="1"/>
  <c r="G36" i="20"/>
  <c r="E23" i="4"/>
  <c r="G23" i="4" s="1"/>
  <c r="G37" i="20" l="1"/>
  <c r="G27" i="23"/>
  <c r="G21" i="26"/>
  <c r="H9" i="19"/>
  <c r="I9" i="19" s="1"/>
  <c r="F5" i="20"/>
  <c r="H19" i="19"/>
  <c r="I19" i="19" s="1"/>
  <c r="F5" i="28"/>
  <c r="G37" i="4"/>
  <c r="E43" i="25"/>
  <c r="F3" i="25" s="1"/>
  <c r="C319" i="33"/>
  <c r="A318" i="33"/>
  <c r="H11" i="19"/>
  <c r="I11" i="19" s="1"/>
  <c r="F5" i="21"/>
  <c r="E21" i="26"/>
  <c r="F3" i="26" s="1"/>
  <c r="E37" i="4"/>
  <c r="F3" i="4" s="1"/>
  <c r="E4" i="19"/>
  <c r="M4" i="19" s="1"/>
  <c r="D16" i="19"/>
  <c r="D22" i="19" s="1"/>
  <c r="M1" i="19" s="1"/>
  <c r="E37" i="27"/>
  <c r="F3" i="27" s="1"/>
  <c r="F14" i="19"/>
  <c r="E1" i="25"/>
  <c r="E32" i="24"/>
  <c r="F3" i="24" s="1"/>
  <c r="G24" i="24"/>
  <c r="G32" i="24" s="1"/>
  <c r="G43" i="25"/>
  <c r="H10" i="19"/>
  <c r="I10" i="19" s="1"/>
  <c r="F5" i="30"/>
  <c r="H12" i="19"/>
  <c r="I12" i="19" s="1"/>
  <c r="F5" i="23"/>
  <c r="F10" i="19"/>
  <c r="F16" i="19" s="1"/>
  <c r="F22" i="19" s="1"/>
  <c r="E1" i="30"/>
  <c r="F11" i="19"/>
  <c r="E1" i="21"/>
  <c r="C17" i="40" l="1"/>
  <c r="M12" i="19"/>
  <c r="H3" i="23" s="1"/>
  <c r="L12" i="19"/>
  <c r="H18" i="19"/>
  <c r="F5" i="27"/>
  <c r="H8" i="19"/>
  <c r="F5" i="4"/>
  <c r="H1" i="28"/>
  <c r="G1" i="28"/>
  <c r="G1" i="30"/>
  <c r="H1" i="30"/>
  <c r="H13" i="19"/>
  <c r="I13" i="19" s="1"/>
  <c r="F5" i="24"/>
  <c r="H15" i="19"/>
  <c r="I15" i="19" s="1"/>
  <c r="F5" i="26"/>
  <c r="C320" i="33"/>
  <c r="A319" i="33"/>
  <c r="C24" i="40"/>
  <c r="F24" i="40" s="1"/>
  <c r="L19" i="19"/>
  <c r="J24" i="19"/>
  <c r="E16" i="2"/>
  <c r="G9" i="40"/>
  <c r="C35" i="40" s="1"/>
  <c r="G1" i="21"/>
  <c r="H1" i="21"/>
  <c r="H1" i="20"/>
  <c r="G1" i="20"/>
  <c r="C15" i="40"/>
  <c r="M10" i="19"/>
  <c r="H3" i="30" s="1"/>
  <c r="L10" i="19"/>
  <c r="H14" i="19"/>
  <c r="I14" i="19" s="1"/>
  <c r="F5" i="25"/>
  <c r="G1" i="23"/>
  <c r="H1" i="23"/>
  <c r="C16" i="40"/>
  <c r="M11" i="19"/>
  <c r="H3" i="21" s="1"/>
  <c r="L11" i="19"/>
  <c r="C14" i="40"/>
  <c r="M9" i="19"/>
  <c r="H3" i="20" s="1"/>
  <c r="L9" i="19"/>
  <c r="H1" i="25" l="1"/>
  <c r="G1" i="25"/>
  <c r="G16" i="40"/>
  <c r="F16" i="40"/>
  <c r="C19" i="40"/>
  <c r="M14" i="19"/>
  <c r="H3" i="25" s="1"/>
  <c r="L14" i="19"/>
  <c r="G1" i="24"/>
  <c r="H1" i="24"/>
  <c r="I8" i="19"/>
  <c r="H16" i="19"/>
  <c r="G15" i="40"/>
  <c r="F15" i="40"/>
  <c r="H1" i="26"/>
  <c r="G1" i="26"/>
  <c r="H20" i="19"/>
  <c r="I18" i="19"/>
  <c r="C20" i="40"/>
  <c r="M15" i="19"/>
  <c r="H3" i="26" s="1"/>
  <c r="L15" i="19"/>
  <c r="H1" i="4"/>
  <c r="G1" i="4"/>
  <c r="G14" i="40"/>
  <c r="F14" i="40"/>
  <c r="C321" i="33"/>
  <c r="A320" i="33"/>
  <c r="C18" i="40"/>
  <c r="M13" i="19"/>
  <c r="H3" i="24" s="1"/>
  <c r="L13" i="19"/>
  <c r="G1" i="27"/>
  <c r="H1" i="27"/>
  <c r="G17" i="40"/>
  <c r="F17" i="40"/>
  <c r="G18" i="40" l="1"/>
  <c r="F18" i="40"/>
  <c r="G20" i="40"/>
  <c r="F20" i="40"/>
  <c r="C13" i="40"/>
  <c r="M8" i="19"/>
  <c r="L8" i="19"/>
  <c r="L16" i="19" s="1"/>
  <c r="L22" i="19" s="1"/>
  <c r="E27" i="19" s="1"/>
  <c r="C322" i="33"/>
  <c r="A321" i="33"/>
  <c r="L18" i="19"/>
  <c r="L20" i="19" s="1"/>
  <c r="C23" i="40"/>
  <c r="F23" i="40" s="1"/>
  <c r="F25" i="40" s="1"/>
  <c r="H22" i="19"/>
  <c r="G19" i="40"/>
  <c r="F19" i="40"/>
  <c r="H3" i="4" l="1"/>
  <c r="J27" i="19"/>
  <c r="K27" i="19" s="1"/>
  <c r="G13" i="40"/>
  <c r="C38" i="40" s="1"/>
  <c r="F13" i="40"/>
  <c r="F21" i="40" s="1"/>
  <c r="F27" i="40" s="1"/>
  <c r="C32" i="40" s="1"/>
  <c r="C323" i="33"/>
  <c r="A322" i="33"/>
  <c r="D35" i="40" l="1"/>
  <c r="C324" i="33"/>
  <c r="A323" i="33"/>
  <c r="C325" i="33" l="1"/>
  <c r="A324" i="33"/>
  <c r="C326" i="33" l="1"/>
  <c r="A325" i="33"/>
  <c r="C327" i="33" l="1"/>
  <c r="A326" i="33"/>
  <c r="C328" i="33" l="1"/>
  <c r="A327" i="33"/>
  <c r="C329" i="33" l="1"/>
  <c r="A328" i="33"/>
  <c r="A329" i="33" l="1"/>
  <c r="C330" i="33"/>
  <c r="C331" i="33" l="1"/>
  <c r="A330" i="33"/>
  <c r="C332" i="33" l="1"/>
  <c r="A331" i="33"/>
  <c r="C333" i="33" l="1"/>
  <c r="A332" i="33"/>
  <c r="A333" i="33" l="1"/>
  <c r="C334" i="33"/>
  <c r="C335" i="33" l="1"/>
  <c r="A334" i="33"/>
  <c r="C336" i="33" l="1"/>
  <c r="A335" i="33"/>
  <c r="C337" i="33" l="1"/>
  <c r="A336" i="33"/>
  <c r="C338" i="33" l="1"/>
  <c r="A337" i="33"/>
  <c r="C339" i="33" l="1"/>
  <c r="A338" i="33"/>
  <c r="C340" i="33" l="1"/>
  <c r="A339" i="33"/>
  <c r="C341" i="33" l="1"/>
  <c r="A340" i="33"/>
  <c r="C342" i="33" l="1"/>
  <c r="A341" i="33"/>
  <c r="C343" i="33" l="1"/>
  <c r="A342" i="33"/>
  <c r="C344" i="33" l="1"/>
  <c r="A343" i="33"/>
  <c r="C345" i="33" l="1"/>
  <c r="A344" i="33"/>
  <c r="C346" i="33" l="1"/>
  <c r="A345" i="33"/>
  <c r="C347" i="33" l="1"/>
  <c r="A346" i="33"/>
  <c r="C348" i="33" l="1"/>
  <c r="A347" i="33"/>
  <c r="C349" i="33" l="1"/>
  <c r="A348" i="33"/>
  <c r="A349" i="33" l="1"/>
  <c r="C350" i="33"/>
  <c r="C351" i="33" l="1"/>
  <c r="A350" i="33"/>
  <c r="C352" i="33" l="1"/>
  <c r="A351" i="33"/>
  <c r="C353" i="33" l="1"/>
  <c r="A352" i="33"/>
  <c r="C354" i="33" l="1"/>
  <c r="A353" i="33"/>
  <c r="C355" i="33" l="1"/>
  <c r="A354" i="33"/>
  <c r="C356" i="33" l="1"/>
  <c r="A355" i="33"/>
  <c r="C357" i="33" l="1"/>
  <c r="A356" i="33"/>
  <c r="C358" i="33" l="1"/>
  <c r="A357" i="33"/>
  <c r="C359" i="33" l="1"/>
  <c r="A358" i="33"/>
  <c r="C360" i="33" l="1"/>
  <c r="A359" i="33"/>
  <c r="C361" i="33" l="1"/>
  <c r="A360" i="33"/>
  <c r="C362" i="33" l="1"/>
  <c r="A361" i="33"/>
  <c r="C363" i="33" l="1"/>
  <c r="A362" i="33"/>
  <c r="C364" i="33" l="1"/>
  <c r="A363" i="33"/>
  <c r="C365" i="33" l="1"/>
  <c r="A364" i="33"/>
  <c r="A365" i="33" l="1"/>
  <c r="C366" i="33"/>
  <c r="C367" i="33" l="1"/>
  <c r="A366" i="33"/>
  <c r="C368" i="33" l="1"/>
  <c r="A367" i="33"/>
  <c r="C369" i="33" l="1"/>
  <c r="A368" i="33"/>
  <c r="C370" i="33" l="1"/>
  <c r="A369" i="33"/>
  <c r="C371" i="33" l="1"/>
  <c r="A370" i="33"/>
  <c r="C372" i="33" l="1"/>
  <c r="A371" i="33"/>
  <c r="C373" i="33" l="1"/>
  <c r="A372" i="33"/>
  <c r="C374" i="33" l="1"/>
  <c r="A373" i="33"/>
  <c r="C375" i="33" l="1"/>
  <c r="A374" i="33"/>
  <c r="C376" i="33" l="1"/>
  <c r="A375" i="33"/>
  <c r="C377" i="33" l="1"/>
  <c r="A376" i="33"/>
  <c r="C378" i="33" l="1"/>
  <c r="A377" i="33"/>
  <c r="C379" i="33" l="1"/>
  <c r="A378" i="33"/>
  <c r="C380" i="33" l="1"/>
  <c r="A379" i="33"/>
  <c r="C381" i="33" l="1"/>
  <c r="A380" i="33"/>
  <c r="A381" i="33" l="1"/>
  <c r="C382" i="33"/>
  <c r="C383" i="33" l="1"/>
  <c r="A382" i="33"/>
  <c r="C384" i="33" l="1"/>
  <c r="A383" i="33"/>
  <c r="C385" i="33" l="1"/>
  <c r="A384" i="33"/>
  <c r="C386" i="33" l="1"/>
  <c r="A385" i="33"/>
  <c r="C387" i="33" l="1"/>
  <c r="A386" i="33"/>
  <c r="C388" i="33" l="1"/>
  <c r="A387" i="33"/>
  <c r="C389" i="33" l="1"/>
  <c r="A388" i="33"/>
  <c r="C390" i="33" l="1"/>
  <c r="A389" i="33"/>
  <c r="C391" i="33" l="1"/>
  <c r="A390" i="33"/>
  <c r="C392" i="33" l="1"/>
  <c r="A391" i="33"/>
  <c r="C393" i="33" l="1"/>
  <c r="A392" i="33"/>
  <c r="C394" i="33" l="1"/>
  <c r="A393" i="33"/>
  <c r="C395" i="33" l="1"/>
  <c r="A394" i="33"/>
  <c r="C396" i="33" l="1"/>
  <c r="A395" i="33"/>
  <c r="C397" i="33" l="1"/>
  <c r="A396" i="33"/>
  <c r="A397" i="33" l="1"/>
  <c r="C398" i="33"/>
  <c r="C399" i="33" l="1"/>
  <c r="A398" i="33"/>
  <c r="C400" i="33" l="1"/>
  <c r="A399" i="33"/>
  <c r="C401" i="33" l="1"/>
  <c r="A400" i="33"/>
  <c r="C402" i="33" l="1"/>
  <c r="A401" i="33"/>
  <c r="C403" i="33" l="1"/>
  <c r="A402" i="33"/>
  <c r="C404" i="33" l="1"/>
  <c r="A403" i="33"/>
  <c r="C405" i="33" l="1"/>
  <c r="A404" i="33"/>
  <c r="C406" i="33" l="1"/>
  <c r="A405" i="33"/>
  <c r="C407" i="33" l="1"/>
  <c r="A406" i="33"/>
  <c r="C408" i="33" l="1"/>
  <c r="A407" i="33"/>
  <c r="C409" i="33" l="1"/>
  <c r="A408" i="33"/>
  <c r="C410" i="33" l="1"/>
  <c r="A409" i="33"/>
  <c r="C411" i="33" l="1"/>
  <c r="A410" i="33"/>
  <c r="C412" i="33" l="1"/>
  <c r="A411" i="33"/>
  <c r="C413" i="33" l="1"/>
  <c r="A412" i="33"/>
  <c r="A413" i="33" l="1"/>
  <c r="C414" i="33"/>
  <c r="C415" i="33" l="1"/>
  <c r="A414" i="33"/>
  <c r="C416" i="33" l="1"/>
  <c r="A415" i="33"/>
  <c r="C417" i="33" l="1"/>
  <c r="A416" i="33"/>
  <c r="C418" i="33" l="1"/>
  <c r="A417" i="33"/>
  <c r="C419" i="33" l="1"/>
  <c r="A418" i="33"/>
  <c r="C420" i="33" l="1"/>
  <c r="A419" i="33"/>
  <c r="C421" i="33" l="1"/>
  <c r="A420" i="33"/>
  <c r="C422" i="33" l="1"/>
  <c r="A421" i="33"/>
  <c r="C423" i="33" l="1"/>
  <c r="A422" i="33"/>
  <c r="C424" i="33" l="1"/>
  <c r="A423" i="33"/>
  <c r="C425" i="33" l="1"/>
  <c r="A424" i="33"/>
  <c r="C426" i="33" l="1"/>
  <c r="A425" i="33"/>
  <c r="C427" i="33" l="1"/>
  <c r="A426" i="33"/>
  <c r="C428" i="33" l="1"/>
  <c r="A427" i="33"/>
  <c r="C429" i="33" l="1"/>
  <c r="A428" i="33"/>
  <c r="A429" i="33" l="1"/>
  <c r="C430" i="33"/>
  <c r="C431" i="33" l="1"/>
  <c r="A430" i="33"/>
  <c r="C432" i="33" l="1"/>
  <c r="A431" i="33"/>
  <c r="C433" i="33" l="1"/>
  <c r="A432" i="33"/>
  <c r="C434" i="33" l="1"/>
  <c r="A433" i="33"/>
  <c r="C435" i="33" l="1"/>
  <c r="A434" i="33"/>
  <c r="C436" i="33" l="1"/>
  <c r="A435" i="33"/>
  <c r="C437" i="33" l="1"/>
  <c r="A436" i="33"/>
  <c r="C438" i="33" l="1"/>
  <c r="A437" i="33"/>
  <c r="C439" i="33" l="1"/>
  <c r="A438" i="33"/>
  <c r="C440" i="33" l="1"/>
  <c r="A439" i="33"/>
  <c r="C441" i="33" l="1"/>
  <c r="A440" i="33"/>
  <c r="C442" i="33" l="1"/>
  <c r="A441" i="33"/>
  <c r="C443" i="33" l="1"/>
  <c r="A442" i="33"/>
  <c r="C444" i="33" l="1"/>
  <c r="A443" i="33"/>
  <c r="C445" i="33" l="1"/>
  <c r="A444" i="33"/>
  <c r="A445" i="33" l="1"/>
  <c r="C446" i="33"/>
  <c r="C447" i="33" l="1"/>
  <c r="A446" i="33"/>
  <c r="C448" i="33" l="1"/>
  <c r="A447" i="33"/>
  <c r="C449" i="33" l="1"/>
  <c r="A448" i="33"/>
  <c r="C450" i="33" l="1"/>
  <c r="A449" i="33"/>
  <c r="C451" i="33" l="1"/>
  <c r="A450" i="33"/>
  <c r="C452" i="33" l="1"/>
  <c r="A451" i="33"/>
  <c r="C453" i="33" l="1"/>
  <c r="A452" i="33"/>
  <c r="C454" i="33" l="1"/>
  <c r="A453" i="33"/>
  <c r="C455" i="33" l="1"/>
  <c r="A454" i="33"/>
  <c r="C456" i="33" l="1"/>
  <c r="A455" i="33"/>
  <c r="C457" i="33" l="1"/>
  <c r="A456" i="33"/>
  <c r="C458" i="33" l="1"/>
  <c r="A457" i="33"/>
  <c r="C459" i="33" l="1"/>
  <c r="A458" i="33"/>
  <c r="C460" i="33" l="1"/>
  <c r="A459" i="33"/>
  <c r="C461" i="33" l="1"/>
  <c r="A460" i="33"/>
  <c r="A461" i="33" l="1"/>
  <c r="C462" i="33"/>
  <c r="C463" i="33" l="1"/>
  <c r="A462" i="33"/>
  <c r="C464" i="33" l="1"/>
  <c r="A463" i="33"/>
  <c r="C465" i="33" l="1"/>
  <c r="A464" i="33"/>
  <c r="C466" i="33" l="1"/>
  <c r="A465" i="33"/>
  <c r="C467" i="33" l="1"/>
  <c r="A466" i="33"/>
  <c r="C468" i="33" l="1"/>
  <c r="A467" i="33"/>
  <c r="C469" i="33" l="1"/>
  <c r="A468" i="33"/>
  <c r="C470" i="33" l="1"/>
  <c r="A469" i="33"/>
  <c r="C471" i="33" l="1"/>
  <c r="A470" i="33"/>
  <c r="B470" i="33" s="1"/>
  <c r="B469" i="33"/>
  <c r="C472" i="33" l="1"/>
  <c r="A471" i="33"/>
  <c r="B471" i="33" s="1"/>
  <c r="B316" i="33"/>
  <c r="B317" i="33"/>
  <c r="B318" i="33"/>
  <c r="B319" i="33"/>
  <c r="B320" i="33"/>
  <c r="B321" i="33"/>
  <c r="B322" i="33"/>
  <c r="B323" i="33"/>
  <c r="B324" i="33"/>
  <c r="B325" i="33"/>
  <c r="B326" i="33"/>
  <c r="B327" i="33"/>
  <c r="B328" i="33"/>
  <c r="B329" i="33"/>
  <c r="B330" i="33"/>
  <c r="B331" i="33"/>
  <c r="B332" i="33"/>
  <c r="B333" i="33"/>
  <c r="B334" i="33"/>
  <c r="B335" i="33"/>
  <c r="B336" i="33"/>
  <c r="B337" i="33"/>
  <c r="B338" i="33"/>
  <c r="B339" i="33"/>
  <c r="B340" i="33"/>
  <c r="B341" i="33"/>
  <c r="B342" i="33"/>
  <c r="B343" i="33"/>
  <c r="B344" i="33"/>
  <c r="B345" i="33"/>
  <c r="B346" i="33"/>
  <c r="B347" i="33"/>
  <c r="B348" i="33"/>
  <c r="B349" i="33"/>
  <c r="B350" i="33"/>
  <c r="B351" i="33"/>
  <c r="B352" i="33"/>
  <c r="B353" i="33"/>
  <c r="B354" i="33"/>
  <c r="B355" i="33"/>
  <c r="B356" i="33"/>
  <c r="B357" i="33"/>
  <c r="B358" i="33"/>
  <c r="B359" i="33"/>
  <c r="B360" i="33"/>
  <c r="B361" i="33"/>
  <c r="B362" i="33"/>
  <c r="B363" i="33"/>
  <c r="B364" i="33"/>
  <c r="B365" i="33"/>
  <c r="B366" i="33"/>
  <c r="B367" i="33"/>
  <c r="B368" i="33"/>
  <c r="B369" i="33"/>
  <c r="B370" i="33"/>
  <c r="B371" i="33"/>
  <c r="B372" i="33"/>
  <c r="B373" i="33"/>
  <c r="B374" i="33"/>
  <c r="B375" i="33"/>
  <c r="B376" i="33"/>
  <c r="B377" i="33"/>
  <c r="B378" i="33"/>
  <c r="B379" i="33"/>
  <c r="B380" i="33"/>
  <c r="B381" i="33"/>
  <c r="B382" i="33"/>
  <c r="B383" i="33"/>
  <c r="B384" i="33"/>
  <c r="B385" i="33"/>
  <c r="B386" i="33"/>
  <c r="B387" i="33"/>
  <c r="B388" i="33"/>
  <c r="B389" i="33"/>
  <c r="B390" i="33"/>
  <c r="B391" i="33"/>
  <c r="B392" i="33"/>
  <c r="B393" i="33"/>
  <c r="B394" i="33"/>
  <c r="B395" i="33"/>
  <c r="B396" i="33"/>
  <c r="B397" i="33"/>
  <c r="B398" i="33"/>
  <c r="B399" i="33"/>
  <c r="B400" i="33"/>
  <c r="B401" i="33"/>
  <c r="B402" i="33"/>
  <c r="B403" i="33"/>
  <c r="B404" i="33"/>
  <c r="B405" i="33"/>
  <c r="B406" i="33"/>
  <c r="B407" i="33"/>
  <c r="B408" i="33"/>
  <c r="B409" i="33"/>
  <c r="B410" i="33"/>
  <c r="B411" i="33"/>
  <c r="B412" i="33"/>
  <c r="B413" i="33"/>
  <c r="B414" i="33"/>
  <c r="B415" i="33"/>
  <c r="B416" i="33"/>
  <c r="B417" i="33"/>
  <c r="B418" i="33"/>
  <c r="B419" i="33"/>
  <c r="B420" i="33"/>
  <c r="B421" i="33"/>
  <c r="B422" i="33"/>
  <c r="B423" i="33"/>
  <c r="B424" i="33"/>
  <c r="B425" i="33"/>
  <c r="B426" i="33"/>
  <c r="B427" i="33"/>
  <c r="B428" i="33"/>
  <c r="B429" i="33"/>
  <c r="B430" i="33"/>
  <c r="B431" i="33"/>
  <c r="B432" i="33"/>
  <c r="B433" i="33"/>
  <c r="B434" i="33"/>
  <c r="B435" i="33"/>
  <c r="B436" i="33"/>
  <c r="B437" i="33"/>
  <c r="B438" i="33"/>
  <c r="B439" i="33"/>
  <c r="B440" i="33"/>
  <c r="B441" i="33"/>
  <c r="B442" i="33"/>
  <c r="B443" i="33"/>
  <c r="B444" i="33"/>
  <c r="B445" i="33"/>
  <c r="B446" i="33"/>
  <c r="B447" i="33"/>
  <c r="B448" i="33"/>
  <c r="B449" i="33"/>
  <c r="B450" i="33"/>
  <c r="B451" i="33"/>
  <c r="B452" i="33"/>
  <c r="B453" i="33"/>
  <c r="B454" i="33"/>
  <c r="B455" i="33"/>
  <c r="B456" i="33"/>
  <c r="B457" i="33"/>
  <c r="B458" i="33"/>
  <c r="B459" i="33"/>
  <c r="B460" i="33"/>
  <c r="B461" i="33"/>
  <c r="B462" i="33"/>
  <c r="B463" i="33"/>
  <c r="B464" i="33"/>
  <c r="B465" i="33"/>
  <c r="B466" i="33"/>
  <c r="B467" i="33"/>
  <c r="B468" i="33"/>
  <c r="C473" i="33" l="1"/>
  <c r="A472" i="33"/>
  <c r="C474" i="33" l="1"/>
  <c r="A473" i="33"/>
  <c r="C475" i="33" l="1"/>
  <c r="A474" i="33"/>
  <c r="C476" i="33" l="1"/>
  <c r="A475" i="33"/>
  <c r="C477" i="33" l="1"/>
  <c r="A476" i="33"/>
  <c r="A477" i="33" l="1"/>
  <c r="C478" i="33"/>
  <c r="C479" i="33" l="1"/>
  <c r="A478" i="33"/>
  <c r="C480" i="33" l="1"/>
  <c r="A479" i="33"/>
  <c r="C481" i="33" l="1"/>
  <c r="A480" i="33"/>
  <c r="C482" i="33" l="1"/>
  <c r="A481" i="33"/>
  <c r="C483" i="33" l="1"/>
  <c r="A482" i="33"/>
  <c r="C484" i="33" l="1"/>
  <c r="A483" i="33"/>
  <c r="C485" i="33" l="1"/>
  <c r="A484" i="33"/>
  <c r="C486" i="33" l="1"/>
  <c r="A485" i="33"/>
  <c r="C487" i="33" l="1"/>
  <c r="A486" i="33"/>
  <c r="C488" i="33" l="1"/>
  <c r="A487" i="33"/>
  <c r="C489" i="33" l="1"/>
  <c r="A488" i="33"/>
  <c r="C490" i="33" l="1"/>
  <c r="A489" i="33"/>
  <c r="C491" i="33" l="1"/>
  <c r="A490" i="33"/>
  <c r="C492" i="33" l="1"/>
  <c r="A491" i="33"/>
  <c r="C493" i="33" l="1"/>
  <c r="A492" i="33"/>
  <c r="A493" i="33" l="1"/>
  <c r="C494" i="33"/>
  <c r="C495" i="33" l="1"/>
  <c r="A494" i="33"/>
  <c r="C496" i="33" l="1"/>
  <c r="A495" i="33"/>
  <c r="C497" i="33" l="1"/>
  <c r="A496" i="33"/>
  <c r="C498" i="33" l="1"/>
  <c r="A497" i="33"/>
  <c r="C499" i="33" l="1"/>
  <c r="A498" i="33"/>
  <c r="C500" i="33" l="1"/>
  <c r="A499" i="33"/>
  <c r="C501" i="33" l="1"/>
  <c r="A500" i="33"/>
  <c r="C502" i="33" l="1"/>
  <c r="A501" i="33"/>
  <c r="C503" i="33" l="1"/>
  <c r="A502" i="33"/>
  <c r="C504" i="33" l="1"/>
  <c r="A503" i="33"/>
  <c r="C505" i="33" l="1"/>
  <c r="A504" i="33"/>
  <c r="C506" i="33" l="1"/>
  <c r="A505" i="33"/>
  <c r="C507" i="33" l="1"/>
  <c r="A506" i="33"/>
  <c r="C508" i="33" l="1"/>
  <c r="A507" i="33"/>
  <c r="C509" i="33" l="1"/>
  <c r="A508" i="33"/>
  <c r="A509" i="33" l="1"/>
  <c r="C510" i="33"/>
  <c r="C511" i="33" l="1"/>
  <c r="A510" i="33"/>
  <c r="C512" i="33" l="1"/>
  <c r="A511" i="33"/>
  <c r="C513" i="33" l="1"/>
  <c r="A512" i="33"/>
  <c r="C514" i="33" l="1"/>
  <c r="A513" i="33"/>
  <c r="C515" i="33" l="1"/>
  <c r="A514" i="33"/>
  <c r="C516" i="33" l="1"/>
  <c r="A515" i="33"/>
  <c r="C517" i="33" l="1"/>
  <c r="A516" i="33"/>
  <c r="C518" i="33" l="1"/>
  <c r="A517" i="33"/>
  <c r="C519" i="33" l="1"/>
  <c r="A518" i="33"/>
  <c r="C520" i="33" l="1"/>
  <c r="A519" i="33"/>
  <c r="C521" i="33" l="1"/>
  <c r="A520" i="33"/>
  <c r="C522" i="33" l="1"/>
  <c r="A521" i="33"/>
  <c r="C523" i="33" l="1"/>
  <c r="A522" i="33"/>
  <c r="C524" i="33" l="1"/>
  <c r="A523" i="33"/>
  <c r="C525" i="33" l="1"/>
  <c r="A524" i="33"/>
  <c r="A525" i="33" l="1"/>
  <c r="C526" i="33"/>
  <c r="C527" i="33" l="1"/>
  <c r="A526" i="33"/>
  <c r="C528" i="33" l="1"/>
  <c r="A527" i="33"/>
  <c r="C529" i="33" l="1"/>
  <c r="A528" i="33"/>
  <c r="C530" i="33" l="1"/>
  <c r="A529" i="33"/>
  <c r="C531" i="33" l="1"/>
  <c r="A530" i="33"/>
  <c r="C532" i="33" l="1"/>
  <c r="A531" i="33"/>
  <c r="C533" i="33" l="1"/>
  <c r="A532" i="33"/>
  <c r="C534" i="33" l="1"/>
  <c r="A533" i="33"/>
  <c r="C535" i="33" l="1"/>
  <c r="A534" i="33"/>
  <c r="C536" i="33" l="1"/>
  <c r="A535" i="33"/>
  <c r="C537" i="33" l="1"/>
  <c r="A536" i="33"/>
  <c r="C538" i="33" l="1"/>
  <c r="A537" i="33"/>
  <c r="C539" i="33" l="1"/>
  <c r="A538" i="33"/>
  <c r="C540" i="33" l="1"/>
  <c r="A539" i="33"/>
  <c r="C541" i="33" l="1"/>
  <c r="A540" i="33"/>
  <c r="A541" i="33" l="1"/>
  <c r="C542" i="33"/>
  <c r="C543" i="33" l="1"/>
  <c r="A542" i="33"/>
  <c r="C544" i="33" l="1"/>
  <c r="A543" i="33"/>
  <c r="C545" i="33" l="1"/>
  <c r="A544" i="33"/>
  <c r="C546" i="33" l="1"/>
  <c r="A545" i="33"/>
  <c r="C547" i="33" l="1"/>
  <c r="A546" i="33"/>
  <c r="C548" i="33" l="1"/>
  <c r="A547" i="33"/>
  <c r="C549" i="33" l="1"/>
  <c r="A548" i="33"/>
  <c r="C550" i="33" l="1"/>
  <c r="A549" i="33"/>
  <c r="B549" i="33" s="1"/>
  <c r="B472" i="33"/>
  <c r="B473" i="33"/>
  <c r="B474" i="33"/>
  <c r="B475" i="33"/>
  <c r="B476" i="33"/>
  <c r="B477" i="33"/>
  <c r="B478" i="33"/>
  <c r="B479" i="33"/>
  <c r="B480" i="33"/>
  <c r="B481" i="33"/>
  <c r="B482" i="33"/>
  <c r="B483" i="33"/>
  <c r="B484" i="33"/>
  <c r="B485" i="33"/>
  <c r="B486" i="33"/>
  <c r="B487" i="33"/>
  <c r="B488" i="33"/>
  <c r="B489" i="33"/>
  <c r="B490" i="33"/>
  <c r="B491" i="33"/>
  <c r="B492" i="33"/>
  <c r="B493" i="33"/>
  <c r="B494" i="33"/>
  <c r="B495" i="33"/>
  <c r="B496" i="33"/>
  <c r="B497" i="33"/>
  <c r="B498" i="33"/>
  <c r="B499" i="33"/>
  <c r="B500" i="33"/>
  <c r="B501" i="33"/>
  <c r="B502" i="33"/>
  <c r="B503" i="33"/>
  <c r="B504" i="33"/>
  <c r="B505" i="33"/>
  <c r="B506" i="33"/>
  <c r="B507" i="33"/>
  <c r="B508" i="33"/>
  <c r="B509" i="33"/>
  <c r="B510" i="33"/>
  <c r="B511" i="33"/>
  <c r="B512" i="33"/>
  <c r="B513" i="33"/>
  <c r="B514" i="33"/>
  <c r="B515" i="33"/>
  <c r="B516" i="33"/>
  <c r="B517" i="33"/>
  <c r="B518" i="33"/>
  <c r="B519" i="33"/>
  <c r="B520" i="33"/>
  <c r="B521" i="33"/>
  <c r="B522" i="33"/>
  <c r="B523" i="33"/>
  <c r="B524" i="33"/>
  <c r="B525" i="33"/>
  <c r="B526" i="33"/>
  <c r="B527" i="33"/>
  <c r="B528" i="33"/>
  <c r="B529" i="33"/>
  <c r="B530" i="33"/>
  <c r="B531" i="33"/>
  <c r="B532" i="33"/>
  <c r="B533" i="33"/>
  <c r="B534" i="33"/>
  <c r="B535" i="33"/>
  <c r="B536" i="33"/>
  <c r="B537" i="33"/>
  <c r="B538" i="33"/>
  <c r="B539" i="33"/>
  <c r="B540" i="33"/>
  <c r="B541" i="33"/>
  <c r="B542" i="33"/>
  <c r="B543" i="33"/>
  <c r="B544" i="33"/>
  <c r="B545" i="33"/>
  <c r="B546" i="33"/>
  <c r="B548" i="33"/>
  <c r="B547" i="33"/>
  <c r="C551" i="33" l="1"/>
  <c r="A550" i="33"/>
  <c r="C552" i="33" l="1"/>
  <c r="A551" i="33"/>
  <c r="C553" i="33" l="1"/>
  <c r="A552" i="33"/>
  <c r="C554" i="33" l="1"/>
  <c r="A553" i="33"/>
  <c r="C555" i="33" l="1"/>
  <c r="A554" i="33"/>
  <c r="C556" i="33" l="1"/>
  <c r="A555" i="33"/>
  <c r="C557" i="33" l="1"/>
  <c r="A556" i="33"/>
  <c r="A557" i="33" l="1"/>
  <c r="C558" i="33"/>
  <c r="C559" i="33" l="1"/>
  <c r="A558" i="33"/>
  <c r="C560" i="33" l="1"/>
  <c r="A559" i="33"/>
  <c r="C561" i="33" l="1"/>
  <c r="A560" i="33"/>
  <c r="C562" i="33" l="1"/>
  <c r="A561" i="33"/>
  <c r="C563" i="33" l="1"/>
  <c r="A562" i="33"/>
  <c r="C564" i="33" l="1"/>
  <c r="A563" i="33"/>
  <c r="C565" i="33" l="1"/>
  <c r="A564" i="33"/>
  <c r="C566" i="33" l="1"/>
  <c r="A565" i="33"/>
  <c r="C567" i="33" l="1"/>
  <c r="A566" i="33"/>
  <c r="B566" i="33" l="1"/>
  <c r="C568" i="33"/>
  <c r="A567" i="33"/>
  <c r="B567" i="33" s="1"/>
  <c r="C569" i="33" l="1"/>
  <c r="A568" i="33"/>
  <c r="B568" i="33" s="1"/>
  <c r="B550" i="33"/>
  <c r="B551" i="33"/>
  <c r="B552" i="33"/>
  <c r="B553" i="33"/>
  <c r="B554" i="33"/>
  <c r="B555" i="33"/>
  <c r="B556" i="33"/>
  <c r="B557" i="33"/>
  <c r="B558" i="33"/>
  <c r="B559" i="33"/>
  <c r="B560" i="33"/>
  <c r="B561" i="33"/>
  <c r="B562" i="33"/>
  <c r="B563" i="33"/>
  <c r="B564" i="33"/>
  <c r="B565" i="33"/>
  <c r="A569" i="33" l="1"/>
  <c r="C570" i="33"/>
  <c r="C571" i="33" l="1"/>
  <c r="A570" i="33"/>
  <c r="C572" i="33" l="1"/>
  <c r="A571" i="33"/>
  <c r="C573" i="33" l="1"/>
  <c r="A572" i="33"/>
  <c r="A573" i="33" l="1"/>
  <c r="C574" i="33"/>
  <c r="C575" i="33" l="1"/>
  <c r="A574" i="33"/>
  <c r="C576" i="33" l="1"/>
  <c r="A575" i="33"/>
  <c r="C577" i="33" l="1"/>
  <c r="A576" i="33"/>
  <c r="C578" i="33" l="1"/>
  <c r="A577" i="33"/>
  <c r="B577" i="33" s="1"/>
  <c r="C579" i="33" l="1"/>
  <c r="A578" i="33"/>
  <c r="B578" i="33" s="1"/>
  <c r="B569" i="33"/>
  <c r="B570" i="33"/>
  <c r="B571" i="33"/>
  <c r="B572" i="33"/>
  <c r="B573" i="33"/>
  <c r="B574" i="33"/>
  <c r="B575" i="33"/>
  <c r="B576" i="33"/>
  <c r="C580" i="33" l="1"/>
  <c r="A579" i="33"/>
  <c r="C581" i="33" l="1"/>
  <c r="A580" i="33"/>
  <c r="C582" i="33" l="1"/>
  <c r="A581" i="33"/>
  <c r="B581" i="33" l="1"/>
  <c r="C583" i="33"/>
  <c r="A582" i="33"/>
  <c r="B582" i="33" s="1"/>
  <c r="C584" i="33" l="1"/>
  <c r="A583" i="33"/>
  <c r="B583" i="33" s="1"/>
  <c r="B579" i="33"/>
  <c r="B580" i="33"/>
  <c r="C585" i="33" l="1"/>
  <c r="A585" i="33" s="1"/>
  <c r="B585" i="33" s="1"/>
  <c r="A584" i="33"/>
  <c r="B584" i="33" s="1"/>
</calcChain>
</file>

<file path=xl/sharedStrings.xml><?xml version="1.0" encoding="utf-8"?>
<sst xmlns="http://schemas.openxmlformats.org/spreadsheetml/2006/main" count="5652" uniqueCount="2807">
  <si>
    <t>City</t>
  </si>
  <si>
    <t>Compliant</t>
  </si>
  <si>
    <t>Car park must be for public use</t>
  </si>
  <si>
    <t>Score</t>
  </si>
  <si>
    <t>Remarks</t>
  </si>
  <si>
    <t>subtotal  car entry/exit</t>
  </si>
  <si>
    <t>M</t>
  </si>
  <si>
    <t>M.1</t>
  </si>
  <si>
    <t>M.2</t>
  </si>
  <si>
    <t>M.3</t>
  </si>
  <si>
    <t>M.4</t>
  </si>
  <si>
    <t>M.6</t>
  </si>
  <si>
    <t>B</t>
  </si>
  <si>
    <t>B.1</t>
  </si>
  <si>
    <t>B.2</t>
  </si>
  <si>
    <t>B.3</t>
  </si>
  <si>
    <t>B.4</t>
  </si>
  <si>
    <t>1.1</t>
  </si>
  <si>
    <t>1.2</t>
  </si>
  <si>
    <t>1.3</t>
  </si>
  <si>
    <t>1.4</t>
  </si>
  <si>
    <t>1.5</t>
  </si>
  <si>
    <t>1.6</t>
  </si>
  <si>
    <t>1.7</t>
  </si>
  <si>
    <t>1.8</t>
  </si>
  <si>
    <t>1.9</t>
  </si>
  <si>
    <t>2.1</t>
  </si>
  <si>
    <t>2.2</t>
  </si>
  <si>
    <t>2.3</t>
  </si>
  <si>
    <t>2.4</t>
  </si>
  <si>
    <t>2.5</t>
  </si>
  <si>
    <t>2.6</t>
  </si>
  <si>
    <t>2.7</t>
  </si>
  <si>
    <t>2.8</t>
  </si>
  <si>
    <t>3.1</t>
  </si>
  <si>
    <t>3.2</t>
  </si>
  <si>
    <t>3.3</t>
  </si>
  <si>
    <t>3.4</t>
  </si>
  <si>
    <t>3.5</t>
  </si>
  <si>
    <t>3.6</t>
  </si>
  <si>
    <t>3.7</t>
  </si>
  <si>
    <t>3.8</t>
  </si>
  <si>
    <t>3.9</t>
  </si>
  <si>
    <t>3.10</t>
  </si>
  <si>
    <t>1.10</t>
  </si>
  <si>
    <t>4.1</t>
  </si>
  <si>
    <t>4.2</t>
  </si>
  <si>
    <t>4.3</t>
  </si>
  <si>
    <t>4.4</t>
  </si>
  <si>
    <t>4.5</t>
  </si>
  <si>
    <t>4.6</t>
  </si>
  <si>
    <t>4.7</t>
  </si>
  <si>
    <t>4.8</t>
  </si>
  <si>
    <t>4.9</t>
  </si>
  <si>
    <t>4.10</t>
  </si>
  <si>
    <t>5.1</t>
  </si>
  <si>
    <t>5.2</t>
  </si>
  <si>
    <t>5.3</t>
  </si>
  <si>
    <t>5.4</t>
  </si>
  <si>
    <t>8.1</t>
  </si>
  <si>
    <t>8.2</t>
  </si>
  <si>
    <t>8.3</t>
  </si>
  <si>
    <t>9.1</t>
  </si>
  <si>
    <t>9.2</t>
  </si>
  <si>
    <t>9.3</t>
  </si>
  <si>
    <t>9.4</t>
  </si>
  <si>
    <t>9.5</t>
  </si>
  <si>
    <t>9.6</t>
  </si>
  <si>
    <t>9.7</t>
  </si>
  <si>
    <t>9.8</t>
  </si>
  <si>
    <t>9.9</t>
  </si>
  <si>
    <t>9.10</t>
  </si>
  <si>
    <t>10.1</t>
  </si>
  <si>
    <t>10.2</t>
  </si>
  <si>
    <t>10.3</t>
  </si>
  <si>
    <t>10.4</t>
  </si>
  <si>
    <t>10.5</t>
  </si>
  <si>
    <t>M.7</t>
  </si>
  <si>
    <t>10.6</t>
  </si>
  <si>
    <t>6.1</t>
  </si>
  <si>
    <t>6.2</t>
  </si>
  <si>
    <t>6.3</t>
  </si>
  <si>
    <t>Total unit measure of one way isle width and
depth of two parking bays, depending on parking angle and bay width:
Bay width: 2.50m / 2.45m / 2.40m / 2.35m / 2.30m
90° :           16.00 /  16.30 /  16.60 /  16.90 / 17.30
85° :           15.70 /  16.00 /  16.30 /  16.60 / 16.95
80° :           15.40 /  15.70 /  16.00 /  16.30 / 16.60
75° :           14.95 /  15.25 /  15.55 /  15.85 / 16.15
70° :           14.50 /  14.80 /  15.10 /  15.40 / 15.70
65° :           14.40 /  14.40 /  14.55 /  14.80 / 15.10
60° :           14.30 /  14.30 /  14.30 /  14.30 / 14.50
55° :           14.00 /  14.00 /  14.00 /  14.00 / 14.10
50° :           13.75 /  13.75 /  13.75 /  13.75 / 13.75
45° :           13.50 /  13.50 /  13.50 /  13.50 / 13.50
Total unit measure as above qualifies for 3 points. 
Up to 30 cm less qualifies for 2 points
Up to 60 cm less qualifies for 1 point
More than 60 cm less: no points given</t>
  </si>
  <si>
    <t>EUROPEAN STANDARD PARKING AWARD</t>
  </si>
  <si>
    <t>Minimum headroom = 1.90 m, generally in the public areas. Incidental lower obstacles must be clearly marked.</t>
  </si>
  <si>
    <t>If the car park has paid parking and access control by barriers or gates, staff must be contactable at the pay point/exit point and secured pedestrian entries.</t>
  </si>
  <si>
    <t>All straight ramps for  unidirectional traffic must be minimum 2.7 metres wide. Bidirectional ramps must be at least 6m wide with lane markings. Ramp width is measured between walls or pillars</t>
  </si>
  <si>
    <t xml:space="preserve">Curved ramps for single directional traffic must have an external radius of minimum 8.00 metres with lane width of minimum 3.5 metres. For bidirectional curved ramps this applies for the inner driving lane. The outside driving lane must be minimum 3.5 metres wide as well. </t>
  </si>
  <si>
    <t>Receipt for payment must be provided when requested.</t>
  </si>
  <si>
    <t>3.11</t>
  </si>
  <si>
    <t>5.5</t>
  </si>
  <si>
    <t>5.6</t>
  </si>
  <si>
    <t>Measured value</t>
  </si>
  <si>
    <t>CCTV with notice at entrance = 3, No CCTV =0</t>
  </si>
  <si>
    <t>8.4</t>
  </si>
  <si>
    <t>8.5</t>
  </si>
  <si>
    <t>8.6</t>
  </si>
  <si>
    <t>8.7</t>
  </si>
  <si>
    <t>8.8</t>
  </si>
  <si>
    <t>10.7</t>
  </si>
  <si>
    <t>10.8</t>
  </si>
  <si>
    <t>10.9</t>
  </si>
  <si>
    <t>10.10</t>
  </si>
  <si>
    <t>Special treatment of cleaning water:
•  yes= 2, no= 0</t>
  </si>
  <si>
    <t xml:space="preserve">Grey water or re-use of rain water
•  yes= 2, no= 0
</t>
  </si>
  <si>
    <t>Car sharing and similar initiatives
•  yes= 2, no= 0</t>
  </si>
  <si>
    <t>Other environmental or zero emission  initiatives
•  yes= 2, no= 0</t>
  </si>
  <si>
    <t>Various points of criticism (to explain!)
[E.g. hollow sound, squeaking tyres, unintended visitors, etc.] up to -10</t>
  </si>
  <si>
    <t>B.5</t>
  </si>
  <si>
    <t>halfway parking space under/between light fitting</t>
  </si>
  <si>
    <t>edge of driveway under/between light fitting</t>
  </si>
  <si>
    <t>center of driveway under/between light fitting</t>
  </si>
  <si>
    <t>other edge of driveway under/between light fitting</t>
  </si>
  <si>
    <t>end of parking space under/between light fitting</t>
  </si>
  <si>
    <t>Mandatory Minimum Conditions</t>
  </si>
  <si>
    <t>OK</t>
  </si>
  <si>
    <t>Fail</t>
  </si>
  <si>
    <t>Ramp gradients must not exceed 20% , to be measured at the middle of driving lane.  At bidirectional curved ramps this applies for the inner (steepest) driving lane.</t>
  </si>
  <si>
    <t>There must be at least one dedicated entry and exit lane although additional tidal flow lanes are allowed.</t>
  </si>
  <si>
    <t>All turning movements must be capable of being completed without reversing (moving in/out the parking bay and cul-de-sacs excluded)</t>
  </si>
  <si>
    <t>Number of Fails:</t>
  </si>
  <si>
    <t>Not Evaluated:</t>
  </si>
  <si>
    <t>Auxiliary Grid for 2.8</t>
  </si>
  <si>
    <t>Global Evaluation</t>
  </si>
  <si>
    <t>Category</t>
  </si>
  <si>
    <t>Itens Completed</t>
  </si>
  <si>
    <t>Not measured</t>
  </si>
  <si>
    <t>Total Items</t>
  </si>
  <si>
    <t>Car Entry / Car Exit</t>
  </si>
  <si>
    <t>Rubber lip to prevent damage</t>
  </si>
  <si>
    <t>Yes</t>
  </si>
  <si>
    <t>No</t>
  </si>
  <si>
    <t>Daily opening hours:</t>
  </si>
  <si>
    <t>Operators terms &amp; conditions within the car park:</t>
  </si>
  <si>
    <t>Scale of tariffs:</t>
  </si>
  <si>
    <t>Design entry/exit area</t>
  </si>
  <si>
    <t>Entry ticket- machine easy to reach:</t>
  </si>
  <si>
    <t>Exit ticket- machine easy to reach:</t>
  </si>
  <si>
    <t>Longitudinal slope at the ticket machines</t>
  </si>
  <si>
    <t>Access security</t>
  </si>
  <si>
    <t>Barrier</t>
  </si>
  <si>
    <t>Intercom</t>
  </si>
  <si>
    <t>CCTV</t>
  </si>
  <si>
    <t>Licence Plate Recognition</t>
  </si>
  <si>
    <t>Full height fast closing gates</t>
  </si>
  <si>
    <t>Staffed access(Entry or exit)</t>
  </si>
  <si>
    <t>Exit: exit slope ends at least 5 meters before crossing traffic (pedestrians/cyclists):</t>
  </si>
  <si>
    <t>Parking Area</t>
  </si>
  <si>
    <t>6.4</t>
  </si>
  <si>
    <t>Good</t>
  </si>
  <si>
    <t>Medium</t>
  </si>
  <si>
    <t>Bad</t>
  </si>
  <si>
    <t xml:space="preserve">Routing and turn signs: Is signage clear, complete and unambiguous? </t>
  </si>
  <si>
    <t xml:space="preserve">Exit signs in the car park: Is signage clear, complete and unambiguous? </t>
  </si>
  <si>
    <t>Easy to see ?</t>
  </si>
  <si>
    <t>Parking bays are clearly marked ?</t>
  </si>
  <si>
    <t>Bay markings extend up walls to assist driver ?</t>
  </si>
  <si>
    <t>Height:
(The car park should receive one point for each 10cm of height above 1.90m up to 2.20 m)</t>
  </si>
  <si>
    <r>
      <t>Are Road Markings:</t>
    </r>
    <r>
      <rPr>
        <sz val="10"/>
        <color rgb="FF000000"/>
        <rFont val="Times New Roman"/>
        <family val="1"/>
      </rPr>
      <t/>
    </r>
  </si>
  <si>
    <t>Accessible for wheelchair ?</t>
  </si>
  <si>
    <t>Close to pedestrian exit ?</t>
  </si>
  <si>
    <t>Availability of spaces for disabled with wheelchair access anounced at the entrance the car park:</t>
  </si>
  <si>
    <t>Is this a Single level car park without vehicular ramps or ramper floor?</t>
  </si>
  <si>
    <t>Anti-Slip</t>
  </si>
  <si>
    <t>Smooth</t>
  </si>
  <si>
    <t>No Ramps</t>
  </si>
  <si>
    <t>Ramp surface between parking areas (Anti slip 1, Smooth 0, no ramps 1)</t>
  </si>
  <si>
    <t xml:space="preserve"> &lt;10%</t>
  </si>
  <si>
    <t xml:space="preserve"> 10-15%</t>
  </si>
  <si>
    <t>&gt;15%</t>
  </si>
  <si>
    <t>no ramps</t>
  </si>
  <si>
    <t>Ramp longitudinal gradient connecting ramps (not used for parking)
•  &lt;10%=3, 10-15%=1, &gt;15%=0, no ramps=3</t>
  </si>
  <si>
    <t>Curved ramps must be 1 m wider for same score. Are the ramps curbed?</t>
  </si>
  <si>
    <t>&lt; 3m</t>
  </si>
  <si>
    <t>3m - 3.3m</t>
  </si>
  <si>
    <t>&gt;3.3m</t>
  </si>
  <si>
    <t xml:space="preserve"> &lt;7.5m</t>
  </si>
  <si>
    <t>5% -7%</t>
  </si>
  <si>
    <t>Ramp curvature (external radius) curved ramps
•  up to 9m=0, 9–10 m=1, &gt;10m=2, no ramps=2
At dual way ramps this measure refers to the inner lane.</t>
  </si>
  <si>
    <t>Approach curve to straight ramps
•  &lt;7.5m=0, 7.5–9m=1, &gt;9m=2, no ramps=2</t>
  </si>
  <si>
    <t>Ramped parking floor longitudinal gradient
•  &lt;5%=3, 5-7 =1, &gt;7%=0, no gradient=3</t>
  </si>
  <si>
    <t>Pedestrian Access</t>
  </si>
  <si>
    <t>Security Equipment</t>
  </si>
  <si>
    <t>Confort and Miscellaneous</t>
  </si>
  <si>
    <t>Energy and Environment</t>
  </si>
  <si>
    <t>Minus Points</t>
  </si>
  <si>
    <t>Bonus Points</t>
  </si>
  <si>
    <t>&lt; 2.00m</t>
  </si>
  <si>
    <t>2.10m – 2.20m</t>
  </si>
  <si>
    <t>&gt; 2.20m</t>
  </si>
  <si>
    <t>2.00m – 2.10m</t>
  </si>
  <si>
    <t>Yes (automatic or open connection)</t>
  </si>
  <si>
    <t>Easy to Open</t>
  </si>
  <si>
    <t>Are pedestrian entrance doors easy to use?
(Yes, automatic or open connection = 4, Easy to open = 2, No = 0)</t>
  </si>
  <si>
    <t>Pedestrian access controlled by ticket/pass card when car park open (Yes=1, No=0)</t>
  </si>
  <si>
    <t>Every pedestrian exit</t>
  </si>
  <si>
    <t>One location</t>
  </si>
  <si>
    <t>City plan a central location in car park:
(On Every pedestrian exit = 2, One location = 1, No = 0)</t>
  </si>
  <si>
    <t>Guidance:</t>
  </si>
  <si>
    <t>Is this a Single level car park at ground floor, (not open surface) ?</t>
  </si>
  <si>
    <t>no elevator</t>
  </si>
  <si>
    <t>One elevator</t>
  </si>
  <si>
    <t>Two or more elevators</t>
  </si>
  <si>
    <t>Is there elevators serving street level?</t>
  </si>
  <si>
    <t>More Than 8 People</t>
  </si>
  <si>
    <t>4 to 8 people</t>
  </si>
  <si>
    <t>Less Than 4</t>
  </si>
  <si>
    <t>no visibility from elevator</t>
  </si>
  <si>
    <t>glazed doors/walls</t>
  </si>
  <si>
    <t>Level indication:</t>
  </si>
  <si>
    <t>in elevator:</t>
  </si>
  <si>
    <t>Irrelevant</t>
  </si>
  <si>
    <t>Clear View (Yes = 1, No = 0, Irrelevant = 1)</t>
  </si>
  <si>
    <t>Clear signing</t>
  </si>
  <si>
    <t>Incomplete signing</t>
  </si>
  <si>
    <t>No signing</t>
  </si>
  <si>
    <t>Above 5%</t>
  </si>
  <si>
    <t>0%-2%</t>
  </si>
  <si>
    <t>2%-5%</t>
  </si>
  <si>
    <t xml:space="preserve">Yes </t>
  </si>
  <si>
    <t>No protection</t>
  </si>
  <si>
    <t>No kerbs in entry/exit area</t>
  </si>
  <si>
    <t>Anti slip surfaces access/egress ramps:
(Anti slip = 1, Slippery when wet = 0)</t>
  </si>
  <si>
    <t>Anti slip</t>
  </si>
  <si>
    <t>Slippery when wet</t>
  </si>
  <si>
    <t>&lt; 3 m</t>
  </si>
  <si>
    <t>3m – 3.3m</t>
  </si>
  <si>
    <t>&gt; 3.3m</t>
  </si>
  <si>
    <t>Pillar does not intrude into the parking area</t>
  </si>
  <si>
    <t>Pillar at beginning of stall</t>
  </si>
  <si>
    <t>Pillar next to car door</t>
  </si>
  <si>
    <t>Pillar at back of stall but intrudes into the parking area</t>
  </si>
  <si>
    <t>Visibility (many/few dead corners, walls in the car park etc.)
Good=4, Medium=2 or Bad=0</t>
  </si>
  <si>
    <t>Angle  45°-75°</t>
  </si>
  <si>
    <t>Angle 76°-90°</t>
  </si>
  <si>
    <t>76-90</t>
  </si>
  <si>
    <t>45-75</t>
  </si>
  <si>
    <t>NA</t>
  </si>
  <si>
    <t xml:space="preserve"> 2.25 m - 2.30 m</t>
  </si>
  <si>
    <t xml:space="preserve"> 2.30 m - 2.35 m</t>
  </si>
  <si>
    <t xml:space="preserve"> 2.35 m - 2.40 m</t>
  </si>
  <si>
    <t xml:space="preserve"> 2.40 m - 2.45 m</t>
  </si>
  <si>
    <t xml:space="preserve"> 2.45 m - 2.50 m</t>
  </si>
  <si>
    <t xml:space="preserve"> above 2.50 m</t>
  </si>
  <si>
    <t>Compliant with the table</t>
  </si>
  <si>
    <t>Up to 30 cm less</t>
  </si>
  <si>
    <t>Up to 60 cm less</t>
  </si>
  <si>
    <t>More than 60 cm less</t>
  </si>
  <si>
    <t>Emergency door, standard open (Yes=2, No= 0)</t>
  </si>
  <si>
    <t>Visibility (Glazed door/wall = 3, No Glass = 0)</t>
  </si>
  <si>
    <t>&lt; 90 cm</t>
  </si>
  <si>
    <t>Glazed door/wall</t>
  </si>
  <si>
    <t>No Glass</t>
  </si>
  <si>
    <t>Width (&lt; 1.5 m = 0, &gt; 1.5m = 2)</t>
  </si>
  <si>
    <t>Hand Rails (No hand rail =0, One Side = 1, Two sides=2)</t>
  </si>
  <si>
    <t>Heightened visibility of steps for people with poor eyesight (Yes = 2, No = 0)</t>
  </si>
  <si>
    <t>Anti-slip surfacing on stairs: (Yes = 2, No = 0)</t>
  </si>
  <si>
    <t>&lt; 1.5 m</t>
  </si>
  <si>
    <t>&gt; 1.5 m</t>
  </si>
  <si>
    <t>No hand rail</t>
  </si>
  <si>
    <t>One Side</t>
  </si>
  <si>
    <t>Two sides</t>
  </si>
  <si>
    <t>none</t>
  </si>
  <si>
    <t>window/grilled</t>
  </si>
  <si>
    <t>Escalators and/or travellators
(To/from all levels =5, To/from some levels =3, No Escalators or Travellators = 0)</t>
  </si>
  <si>
    <t>To/from all levels</t>
  </si>
  <si>
    <t>To/from some levels</t>
  </si>
  <si>
    <t>No Escalators or Travellator</t>
  </si>
  <si>
    <t>to key attractions around the car park at pedestrian exit (Yes=1, No=0):</t>
  </si>
  <si>
    <t>around the car park to pedestrian entrances (Yes=1, No=0):</t>
  </si>
  <si>
    <t>Maximum Score</t>
  </si>
  <si>
    <t>Vehicular entry area; at floor level
•  Above 200 Lux = 5;
•  Between 75– 200 Lux: 0,04 pt per Lux over 75  
•  Below 75 Lux = 0</t>
  </si>
  <si>
    <t>Entry; at 1 m height near ticket-machine
•  Above 200 Lux = 3;
•  Between100– 200 Lux: 0,03 pt per Lux over 100
•  Below 100 Lux = 0</t>
  </si>
  <si>
    <t>Exit; at 1 m height near barrier/ticket-machine
•  Above 200 Lux = 3;
•  Between100– 200 Lux: 0,03 pt per Lux over 100
•  Below 100 Lux= 0</t>
  </si>
  <si>
    <t>In elevator; at floor level
•  Above 70 Lux = 4;
•  Between30– 70 Lux: 0,1 pt per Lux over 30
•  Below 30 Lux = 0;
•  Single level without elevator = 3</t>
  </si>
  <si>
    <t>In staircases and all other exclusive pedestrian routes; at floor level
•  Above 90 Lux = 3;
•  Between30– 90 Lux: 0,05 pt per Lux over 30
•  Below 30 Lux = 0;</t>
  </si>
  <si>
    <t>Item List</t>
  </si>
  <si>
    <t>Total Items + SubItems</t>
  </si>
  <si>
    <t>Bays minimum 3.5 m wide ?</t>
  </si>
  <si>
    <r>
      <t>Parking angle at 85 % of bays:
(Angle 76-90°</t>
    </r>
    <r>
      <rPr>
        <sz val="6"/>
        <color rgb="FF000000"/>
        <rFont val="Arial"/>
        <family val="2"/>
      </rPr>
      <t xml:space="preserve"> </t>
    </r>
    <r>
      <rPr>
        <sz val="10"/>
        <color rgb="FF000000"/>
        <rFont val="Arial"/>
        <family val="2"/>
      </rPr>
      <t>= 0, Angle  45-75°</t>
    </r>
    <r>
      <rPr>
        <sz val="6"/>
        <color rgb="FF000000"/>
        <rFont val="Arial"/>
        <family val="2"/>
      </rPr>
      <t xml:space="preserve"> </t>
    </r>
    <r>
      <rPr>
        <sz val="10"/>
        <color rgb="FF000000"/>
        <rFont val="Arial"/>
        <family val="2"/>
      </rPr>
      <t>= 2)</t>
    </r>
  </si>
  <si>
    <r>
      <t xml:space="preserve">Width of bays (85 % of bays), A or B: 
A: Parking angle 76 – 90 degrees
(2.25m = -5, 2.30m = 0, 2.35m = 2, 2.40m = 4, 2.45m = 6, 2.50m = 8) 
B: Parking angle 45-75 degrees
(2.25m = -5, 2.30m = 1, 2.35m = 3, 2.40m = 5, 2.45m = 8)
</t>
    </r>
    <r>
      <rPr>
        <b/>
        <sz val="10"/>
        <color rgb="FF000000"/>
        <rFont val="Arial"/>
        <family val="2"/>
      </rPr>
      <t>Width of 2.25m only applies for renovated car parks, new car parks must be minimum 2.30m</t>
    </r>
  </si>
  <si>
    <t>Kerb design to avoid damage to average vehicle’s wheels
•  Yes = 2, No protection = 0</t>
  </si>
  <si>
    <t>Car Entry: Yes =1, No =0</t>
  </si>
  <si>
    <t xml:space="preserve"> Car Exit: Yes =1, No =0</t>
  </si>
  <si>
    <t>Pay Machine: Yes =1, No =0</t>
  </si>
  <si>
    <t>Elevator Hall, every level: Yes =1, No =0</t>
  </si>
  <si>
    <t>Stairwells, every level: Yes =1, No =0</t>
  </si>
  <si>
    <t>Pedestrian Entrances: Yes =1, No =0</t>
  </si>
  <si>
    <t>Most of Parking Area (65%):Yes =3, No =0</t>
  </si>
  <si>
    <t xml:space="preserve"> Ramps: Yes = 1, No = 0</t>
  </si>
  <si>
    <t>CCTV at:</t>
  </si>
  <si>
    <t>Intercom at pay machine and/or controlled entries (24/7=3, All access hours if not 24/7= 2, Part time/not available = 0)</t>
  </si>
  <si>
    <t>Staff contactable via:</t>
  </si>
  <si>
    <t>Emergency call system in parking area (24/7=3, All access hours if not 24/7= 2, Part time/not available = 0)</t>
  </si>
  <si>
    <t>Part time/not available</t>
  </si>
  <si>
    <t>24*7</t>
  </si>
  <si>
    <t>All access hours if not 24*7</t>
  </si>
  <si>
    <t>Less than access Hours</t>
  </si>
  <si>
    <t>During access Hours</t>
  </si>
  <si>
    <t>Recognizable staff present and patrolling car park
(24/7 = 3, During access Hours = 2, Less than access Hours = 1, No = 0)</t>
  </si>
  <si>
    <t>Closed gate/rolling shutter  after access hours</t>
  </si>
  <si>
    <t>Secured: fast opening gate during day</t>
  </si>
  <si>
    <t>No provisions</t>
  </si>
  <si>
    <t>Secured: slow opening gate during day</t>
  </si>
  <si>
    <t>Lockable vehicle exit/entry: 
(Closed gate/rolling shutter  after access hours = 2, Secured: fast opening gate during day = 4, Secured: slow opening gate during day = 2, No provisions = 0)</t>
  </si>
  <si>
    <t>no provisions</t>
  </si>
  <si>
    <t>Irrelevant (24 hours opening)</t>
  </si>
  <si>
    <t>Maximum Aperture Door/gate/rolling shutter &lt;= 15cm</t>
  </si>
  <si>
    <t>Maximum Aperture Door/gate/rolling shutter &gt; 15cm</t>
  </si>
  <si>
    <t>Staff surveillance (on-site or remote)
•  Yes = 5, No = 0</t>
  </si>
  <si>
    <t>Grilles on external openings &amp; security grilles
(&lt;= 15 cm = 2, &gt; 15 cm or no protection= 0, Irrelevant (no external openings) = 2)</t>
  </si>
  <si>
    <t>&lt;= 15 cm</t>
  </si>
  <si>
    <t>Irrelevant (no external openings)</t>
  </si>
  <si>
    <t>&gt;15 cm or no protection</t>
  </si>
  <si>
    <t>Parking floor level (yes/good = 2, no/bad = 0)</t>
  </si>
  <si>
    <t>Parking row (yes/good = 1, no/bad = 0)</t>
  </si>
  <si>
    <t>Individual stall indication (yes/good = 2, no/bad = 0)</t>
  </si>
  <si>
    <t>No/Bad</t>
  </si>
  <si>
    <t>Yes/Good</t>
  </si>
  <si>
    <t>Adequate</t>
  </si>
  <si>
    <t>Poor</t>
  </si>
  <si>
    <t>Way finding (vehicles)</t>
  </si>
  <si>
    <t>Are floors clearly and separately identified for drivers? (Good =3, Adequate =2, Poor =1, No =0)</t>
  </si>
  <si>
    <t>Are sub-areas of floors clearly identified for drivers? (Good =3, Adequate =2, Poor =1, No =0)</t>
  </si>
  <si>
    <t>Clear from all locations</t>
  </si>
  <si>
    <t>Clear from most locations</t>
  </si>
  <si>
    <t>Clear from some locations</t>
  </si>
  <si>
    <t>No marking of escape routes</t>
  </si>
  <si>
    <t>None</t>
  </si>
  <si>
    <t>Single Level Car Park</t>
  </si>
  <si>
    <t>Some</t>
  </si>
  <si>
    <t>Is there additional signing or prompts to orient the pedestrian on the parking deck
(good =2, some =1, none = 0)</t>
  </si>
  <si>
    <t>Are parking spaces individually numbered
(Numbered including floor identification =2, Just numbers =1, none =0)</t>
  </si>
  <si>
    <t>Numbered including floor identification</t>
  </si>
  <si>
    <t>Just numbers</t>
  </si>
  <si>
    <t>Localisation of parked cars by ticket or license plate
(Yes= 1, No= 0)</t>
  </si>
  <si>
    <t>Use of colours for  way finding
(Yes= 1, No= 0)</t>
  </si>
  <si>
    <t>Guidance sign posting for cars on roads to car park</t>
  </si>
  <si>
    <t>Static sign system only (Yes = 1, No = 0)</t>
  </si>
  <si>
    <t>Dynamic sign system additionally (Yes = 1, No = 0)</t>
  </si>
  <si>
    <t>Illuminated signage at car park entrance</t>
  </si>
  <si>
    <t>Signal green arrow, red cross for direction (Yes = 1, No = 0)</t>
  </si>
  <si>
    <t>Signal full/free (Yes = 1, No = 0)</t>
  </si>
  <si>
    <t>Signage at pedestrian entrance (Yes = 1, No = 0)</t>
  </si>
  <si>
    <t>Access hours normal/special (yes = 1, no = 0)</t>
  </si>
  <si>
    <t>Readable &amp; understandable tariff board (yes = 1, no = 0)</t>
  </si>
  <si>
    <t>Operators terms and conditions (yes = 1, no = 0)</t>
  </si>
  <si>
    <r>
      <t>Payment options (pay at exit/pay at pay station):</t>
    </r>
    <r>
      <rPr>
        <sz val="10"/>
        <color rgb="FF000000"/>
        <rFont val="Arial"/>
        <family val="2"/>
      </rPr>
      <t/>
    </r>
  </si>
  <si>
    <t>Accepts coins? (yes =1, no =0)</t>
  </si>
  <si>
    <t>Change given? (yes =1, no =0)</t>
  </si>
  <si>
    <t>Accepts bank cards?  (yes =1, no =0)</t>
  </si>
  <si>
    <t>Accepts banknotes?  (yes =1, no =0)</t>
  </si>
  <si>
    <t>Payment by smart phone? (yes =1, no =0)</t>
  </si>
  <si>
    <t>Payment by card/phone at exit? (yes =1, no =0)</t>
  </si>
  <si>
    <t>ID &amp; payment by LPR? (yes =1, no =0)</t>
  </si>
  <si>
    <t>Accepts other cards: How many? (1 point per additional option up to 3)</t>
  </si>
  <si>
    <t>1</t>
  </si>
  <si>
    <t>0</t>
  </si>
  <si>
    <t>2</t>
  </si>
  <si>
    <t>3 or more</t>
  </si>
  <si>
    <t>Payment at staffed desk: (yes = 1, no = 0)</t>
  </si>
  <si>
    <t>Is this a Pay and Display Car Park?</t>
  </si>
  <si>
    <t>One pay station</t>
  </si>
  <si>
    <t>More than one</t>
  </si>
  <si>
    <t>One at each pedestrian entrance</t>
  </si>
  <si>
    <t>Number of Pay points for Pay and Display Car Parks
(One =0, &lt; 1 for every 50 spaces =2, &gt;1 for every 50 spaces =3)</t>
  </si>
  <si>
    <t>One</t>
  </si>
  <si>
    <t>&lt; 1 for every 50 spaces</t>
  </si>
  <si>
    <t>&gt;1 for every 50 spaces</t>
  </si>
  <si>
    <t>Customer toilets:</t>
  </si>
  <si>
    <t>Exist? (yes= 2, no= 0)</t>
  </si>
  <si>
    <t>Disabled toilet? (yes=1, no= 0)</t>
  </si>
  <si>
    <t>unisex = 0, male/female separated = 1</t>
  </si>
  <si>
    <t>Unisex</t>
  </si>
  <si>
    <t>Male/Female Separated</t>
  </si>
  <si>
    <t>attendant: yes=1, no= 0</t>
  </si>
  <si>
    <r>
      <t>Use of colours/ embellishing works</t>
    </r>
    <r>
      <rPr>
        <sz val="10"/>
        <color rgb="FF000000"/>
        <rFont val="Arial"/>
        <family val="2"/>
      </rPr>
      <t/>
    </r>
  </si>
  <si>
    <t>Coloured pillars =1, no/concrete grey = 0</t>
  </si>
  <si>
    <t>Coloured walls =1, no/concrete grey = 0</t>
  </si>
  <si>
    <t>Coloured pillars</t>
  </si>
  <si>
    <t>Coloured walls</t>
  </si>
  <si>
    <t>No/Concrete grey</t>
  </si>
  <si>
    <r>
      <t>E</t>
    </r>
    <r>
      <rPr>
        <sz val="10"/>
        <color rgb="FF000000"/>
        <rFont val="Arial"/>
        <family val="2"/>
      </rPr>
      <t>x</t>
    </r>
    <r>
      <rPr>
        <sz val="10"/>
        <color rgb="FF000000"/>
        <rFont val="Arial"/>
        <family val="2"/>
      </rPr>
      <t>t</t>
    </r>
    <r>
      <rPr>
        <sz val="10"/>
        <color rgb="FF000000"/>
        <rFont val="Arial"/>
        <family val="2"/>
      </rPr>
      <t>r</t>
    </r>
    <r>
      <rPr>
        <sz val="10"/>
        <color rgb="FF000000"/>
        <rFont val="Arial"/>
        <family val="2"/>
      </rPr>
      <t>a</t>
    </r>
    <r>
      <rPr>
        <sz val="10"/>
        <color rgb="FF000000"/>
        <rFont val="Arial"/>
        <family val="2"/>
      </rPr>
      <t xml:space="preserve"> </t>
    </r>
    <r>
      <rPr>
        <sz val="10"/>
        <color rgb="FF000000"/>
        <rFont val="Arial"/>
        <family val="2"/>
      </rPr>
      <t>e</t>
    </r>
    <r>
      <rPr>
        <sz val="10"/>
        <color rgb="FF000000"/>
        <rFont val="Arial"/>
        <family val="2"/>
      </rPr>
      <t>m</t>
    </r>
    <r>
      <rPr>
        <sz val="10"/>
        <color rgb="FF000000"/>
        <rFont val="Arial"/>
        <family val="2"/>
      </rPr>
      <t>be</t>
    </r>
    <r>
      <rPr>
        <sz val="10"/>
        <color rgb="FF000000"/>
        <rFont val="Arial"/>
        <family val="2"/>
      </rPr>
      <t>l</t>
    </r>
    <r>
      <rPr>
        <sz val="10"/>
        <color rgb="FF000000"/>
        <rFont val="Arial"/>
        <family val="2"/>
      </rPr>
      <t>l</t>
    </r>
    <r>
      <rPr>
        <sz val="10"/>
        <color rgb="FF000000"/>
        <rFont val="Arial"/>
        <family val="2"/>
      </rPr>
      <t>i</t>
    </r>
    <r>
      <rPr>
        <sz val="10"/>
        <color rgb="FF000000"/>
        <rFont val="Arial"/>
        <family val="2"/>
      </rPr>
      <t>s</t>
    </r>
    <r>
      <rPr>
        <sz val="10"/>
        <color rgb="FF000000"/>
        <rFont val="Arial"/>
        <family val="2"/>
      </rPr>
      <t>h</t>
    </r>
    <r>
      <rPr>
        <sz val="10"/>
        <color rgb="FF000000"/>
        <rFont val="Arial"/>
        <family val="2"/>
      </rPr>
      <t>m</t>
    </r>
    <r>
      <rPr>
        <sz val="10"/>
        <color rgb="FF000000"/>
        <rFont val="Arial"/>
        <family val="2"/>
      </rPr>
      <t>ent</t>
    </r>
    <r>
      <rPr>
        <sz val="10"/>
        <color rgb="FF000000"/>
        <rFont val="Times New Roman"/>
        <family val="1"/>
      </rPr>
      <t/>
    </r>
  </si>
  <si>
    <t>Planters: (Yes = 1, No = 0)</t>
  </si>
  <si>
    <t xml:space="preserve"> Artwork: (Yes = 2, No = 0)</t>
  </si>
  <si>
    <t>Other: (Yes = 1, No = 0)</t>
  </si>
  <si>
    <t>Mobile phone coverage (Yes = 2, No = 0)</t>
  </si>
  <si>
    <t>Continuity of radio signals (Yes = 1, No = 0)</t>
  </si>
  <si>
    <t>Background music: yes = 2, No = 0</t>
  </si>
  <si>
    <t>Differentiation for way finding :  yes =1, No = 0</t>
  </si>
  <si>
    <t>Music</t>
  </si>
  <si>
    <t>Power Factor Compensation (Yes=1, No=0)</t>
  </si>
  <si>
    <t>Energy Saving Lighting Systems</t>
  </si>
  <si>
    <t>Solar panels on the roof or other green energy initiatives (yes= 2, no= 0)</t>
  </si>
  <si>
    <t>Adaptable lighting for ambient light conditions at parking floor from daylight
(yes= 2, no= 0, Irrelevant (below ground) =2)</t>
  </si>
  <si>
    <t>More than one recharging point</t>
  </si>
  <si>
    <t>One recharging point</t>
  </si>
  <si>
    <t>Electric Vehicles recharging points: (Yes, more than one= 2, One recharging point=1, None=0)</t>
  </si>
  <si>
    <t>Presence of Graffiti</t>
  </si>
  <si>
    <t>Stairwells (Yes= -2, No= 0)</t>
  </si>
  <si>
    <t>Elevator (Yes= -2, No= 0)</t>
  </si>
  <si>
    <t>Toilets (Yes= -2, No= 0)</t>
  </si>
  <si>
    <t>Parking area (Yes= -2, No= 0)</t>
  </si>
  <si>
    <t>Outside walls (Yes= -2, No= 0)</t>
  </si>
  <si>
    <t>Presence of dirt</t>
  </si>
  <si>
    <t>Outside of entrance for pedestrians + cars (Yes= -2, No= 0)</t>
  </si>
  <si>
    <t>Poor quality of paint work</t>
  </si>
  <si>
    <t>Poor quality horizontal markings (Yes= -2, No= 0)</t>
  </si>
  <si>
    <t xml:space="preserve">Poor quality/lack of maintenance (pot holes ,damages) </t>
  </si>
  <si>
    <t>Floors (Yes= -2, No= 0)</t>
  </si>
  <si>
    <t>Walls (Yes= -2, No= 0)</t>
  </si>
  <si>
    <t>Evidence of standing water (Yes= -2, No= 0)</t>
  </si>
  <si>
    <t>Evidence of bad smells</t>
  </si>
  <si>
    <t>Elevators (Yes= -2, No= 0)</t>
  </si>
  <si>
    <t>Parking deck (Yes= -2, No= 0)</t>
  </si>
  <si>
    <t>Over 15% of parking spaces in cul-de-sac without occupancy indication. (Yes= -5, No=0)</t>
  </si>
  <si>
    <t>Extra provisions in car park</t>
  </si>
  <si>
    <t>Special motorcycle area (Yes= 1, No= 0)</t>
  </si>
  <si>
    <t>Lockers for customers’ use (Yes= 1, No= 0)</t>
  </si>
  <si>
    <t>Other aids (Yes= 1, No= 0)</t>
  </si>
  <si>
    <t>Bicycle rent (Yes= 1, No= 0)</t>
  </si>
  <si>
    <t>Other Driver Assistance (Yes= 1, No= 0)</t>
  </si>
  <si>
    <t>Vending Machines (Yes= 1, No= 0)</t>
  </si>
  <si>
    <t>Heart Defibrillator (Yes= 1, No= 0)</t>
  </si>
  <si>
    <t>First aid trained staff (Yes= 1, No= 0)</t>
  </si>
  <si>
    <t>Real time traffic data (Yes= 1, No= 0)</t>
  </si>
  <si>
    <t>Other real time accessible information (e.g. local events) (Yes= 1, No= 0)</t>
  </si>
  <si>
    <t>Measures to avoid traffic queues at peak hours (i.e. tidal lane at car entry/exit) - (Yes= 3, No= 0)</t>
  </si>
  <si>
    <t>Turn around possibility for cars before height barrier or full sign to prevent reversing (Yes= 3, No= 0)</t>
  </si>
  <si>
    <t>Customer service desk (Yes= 1, No= 0)</t>
  </si>
  <si>
    <t>Number of Items</t>
  </si>
  <si>
    <t>Number of Oks</t>
  </si>
  <si>
    <t>Number of Fails</t>
  </si>
  <si>
    <t>Status</t>
  </si>
  <si>
    <t>To be Completed</t>
  </si>
  <si>
    <t>% Completion:</t>
  </si>
  <si>
    <t>Totals</t>
  </si>
  <si>
    <t>External openings in stairwell
(window/grilled to outside or car park  =2, none =0)</t>
  </si>
  <si>
    <t>Wayfinding Inside and Outside</t>
  </si>
  <si>
    <t>English</t>
  </si>
  <si>
    <t>Country</t>
  </si>
  <si>
    <t>Name of Car Park</t>
  </si>
  <si>
    <t>Language</t>
  </si>
  <si>
    <t>Language List</t>
  </si>
  <si>
    <t>Address</t>
  </si>
  <si>
    <t>Date</t>
  </si>
  <si>
    <t>Number of Spaces</t>
  </si>
  <si>
    <t>Operator</t>
  </si>
  <si>
    <t>Contact Name</t>
  </si>
  <si>
    <t>e-Mail</t>
  </si>
  <si>
    <t>Phone</t>
  </si>
  <si>
    <t>Judged by</t>
  </si>
  <si>
    <t>Evaluation Conditions</t>
  </si>
  <si>
    <t>Time of Day</t>
  </si>
  <si>
    <t>Weather Conditions</t>
  </si>
  <si>
    <t>Occupancy Rate</t>
  </si>
  <si>
    <t>Morning</t>
  </si>
  <si>
    <t>Afternoon</t>
  </si>
  <si>
    <t>Evening</t>
  </si>
  <si>
    <t>Sunny</t>
  </si>
  <si>
    <t>Cloudy</t>
  </si>
  <si>
    <t>Rain</t>
  </si>
  <si>
    <t>Dusk</t>
  </si>
  <si>
    <t>Night</t>
  </si>
  <si>
    <t xml:space="preserve"> &gt; 75%</t>
  </si>
  <si>
    <t>&lt; 25%</t>
  </si>
  <si>
    <t xml:space="preserve"> 50% - 75%</t>
  </si>
  <si>
    <t xml:space="preserve"> about 50%</t>
  </si>
  <si>
    <t xml:space="preserve"> 25% - 50%  </t>
  </si>
  <si>
    <t>Completed</t>
  </si>
  <si>
    <t>Incompleted</t>
  </si>
  <si>
    <t>Comments</t>
  </si>
  <si>
    <t>Number of Ok:</t>
  </si>
  <si>
    <t>Pass</t>
  </si>
  <si>
    <t>Item List (values in Lux, see user manual for measurement)</t>
  </si>
  <si>
    <t>Contribuition for Final Score</t>
  </si>
  <si>
    <t>% Obtained</t>
  </si>
  <si>
    <t>Category Points</t>
  </si>
  <si>
    <t>Points Obtained</t>
  </si>
  <si>
    <t>Category Value</t>
  </si>
  <si>
    <t>Maximum Contribuition for Final Score</t>
  </si>
  <si>
    <t>Percentage</t>
  </si>
  <si>
    <t>Vehicle Ramps</t>
  </si>
  <si>
    <t>Kerb design to avoid damage to average vehicle’s wheels:
(Yes = 2, No protection = 0, No kerbs in entry/exit area = 2)</t>
  </si>
  <si>
    <t>Entry/Exit of the building: width between structure (per lane)
(&lt; 3 m =0, 3 – 3.3 m =1, &gt; 3.3 m = 2)</t>
  </si>
  <si>
    <t>Points:</t>
  </si>
  <si>
    <t>Tabelas Auxiliares</t>
  </si>
  <si>
    <t>6.10</t>
  </si>
  <si>
    <t>6.9</t>
  </si>
  <si>
    <t>6.8</t>
  </si>
  <si>
    <t>6.7</t>
  </si>
  <si>
    <t>6.11</t>
  </si>
  <si>
    <t>6.12</t>
  </si>
  <si>
    <t>6.13</t>
  </si>
  <si>
    <t>Separate walking route (i.e. heightened; zebra stripes or colours) (yes = 2, no = 0)</t>
  </si>
  <si>
    <t>Number of Elevators at street level:
(1 elevator = 1, 2 + elevators = 5)</t>
  </si>
  <si>
    <t>Size of elevators:
(More Than 8 people = 3, 4-8 people = 1, less than 4 = 0)</t>
  </si>
  <si>
    <t>Visibility from elevator inside to hall/parking area
(no visibility from elevator = 0, glazed doors/walls = 3, no elevator = 0)</t>
  </si>
  <si>
    <t>Elevator control buttons at wheelchair height
•  Yes = 1, Other = 0</t>
  </si>
  <si>
    <t>Doors directly to parking area</t>
  </si>
  <si>
    <t>Stairwells (visibility and orientation)</t>
  </si>
  <si>
    <t>Level Indication (Yes = 1, No = 0, Irrelevant = 1)</t>
  </si>
  <si>
    <t>Are elevators the main vertical connection? (stairs only secondary or escape)</t>
  </si>
  <si>
    <t>&gt;= 90 cm</t>
  </si>
  <si>
    <t>Width (&lt;90 cm =0, &gt;=90 cm = 2)</t>
  </si>
  <si>
    <t>in elevator foyer:</t>
  </si>
  <si>
    <t>7.1</t>
  </si>
  <si>
    <t>7.2</t>
  </si>
  <si>
    <t>7.3</t>
  </si>
  <si>
    <t>7.4</t>
  </si>
  <si>
    <t>7.5</t>
  </si>
  <si>
    <t>7.6</t>
  </si>
  <si>
    <t>7.7</t>
  </si>
  <si>
    <t>7.8</t>
  </si>
  <si>
    <t>Lockable pedestrian exit/entry (after opening hours).
(Door/gate/rolling shutter &lt;= 15cm maximum aperture = 2, over 15 cm = 0, no provisions = 0, Irrelevant (24 hours opening) = 2)</t>
  </si>
  <si>
    <t>8.9</t>
  </si>
  <si>
    <t>M.5</t>
  </si>
  <si>
    <t>B.6</t>
  </si>
  <si>
    <t>B.7</t>
  </si>
  <si>
    <t>Minimum</t>
  </si>
  <si>
    <t>Categories Minimum Points</t>
  </si>
  <si>
    <t>Incomplete</t>
  </si>
  <si>
    <t>Subtotals</t>
  </si>
  <si>
    <t>Minimum Requirement for ESPA Award</t>
  </si>
  <si>
    <t>Espa Award</t>
  </si>
  <si>
    <t>Auxiliar for 5.3</t>
  </si>
  <si>
    <t>&lt; 4m</t>
  </si>
  <si>
    <t>4m - 4.3m</t>
  </si>
  <si>
    <t>&gt;4.3m</t>
  </si>
  <si>
    <t>&lt; 9m</t>
  </si>
  <si>
    <t>9m – 10m</t>
  </si>
  <si>
    <t>&gt;10m</t>
  </si>
  <si>
    <t>7.5m – 9m</t>
  </si>
  <si>
    <t>&gt;9m</t>
  </si>
  <si>
    <t>&lt;5%</t>
  </si>
  <si>
    <t>&gt;7%</t>
  </si>
  <si>
    <t>no gradient</t>
  </si>
  <si>
    <t>Other positive points e.g. extra services, friendly staff, tiled walls/floors, good fit of the car park in cityscape etc up to ten additional bonus points. To be explicitly identified.</t>
  </si>
  <si>
    <t>Number of Pay points for Barrier controlled car parks:
(One pay station = 0,  More than one =1, One at each pedestrian entrance, excluding fire escapes =2, More than one at each pedestrian entrance =3)</t>
  </si>
  <si>
    <t>More than one at each pedestrian entrance</t>
  </si>
  <si>
    <t>Light levels on parking area at floor level: (plesase fill grid below) 
Average light level of grid:
•  Above 100 Lux= 10;
•  Between20– 100 Lux: 0,125 pt per Lux over 20 
•  Below 20 Lux= 0</t>
  </si>
  <si>
    <t>Taal</t>
  </si>
  <si>
    <t>Datum</t>
  </si>
  <si>
    <t>Land</t>
  </si>
  <si>
    <t>Naam van de garage</t>
  </si>
  <si>
    <t>Adres</t>
  </si>
  <si>
    <t>Stad</t>
  </si>
  <si>
    <t>Aantal parkeerplaatsen</t>
  </si>
  <si>
    <t>Exploitant</t>
  </si>
  <si>
    <t>Contactpersoon</t>
  </si>
  <si>
    <t>e-mail</t>
  </si>
  <si>
    <t>Telefoon nummer</t>
  </si>
  <si>
    <t>Beoordeeld door:</t>
  </si>
  <si>
    <t>Condities tijdens de beoordeling</t>
  </si>
  <si>
    <t>tijdstip</t>
  </si>
  <si>
    <t>Weersomstandigheden</t>
  </si>
  <si>
    <t>Bezetting van de garage</t>
  </si>
  <si>
    <t>Verplichte minimum eisen</t>
  </si>
  <si>
    <t>Garage moet publiek toegankelijk zijn</t>
  </si>
  <si>
    <t>Minimale inrijhoogte 1,90 m. Incidentele plaatsen met lagere hoogte moeten duidelijk gemarkeerd zijn.</t>
  </si>
  <si>
    <t>70% van de parkeervakken moet minstens 2.30m breed zijn. Voor gerenoveerde garages, ouder dan tien jaar is een minimum breedte van 2.25m toegestaan. In dergelijke gevallen worden vijf punten in mindering gebracht, die elders gecompenseerd moeten worden</t>
  </si>
  <si>
    <t>De buitenkant van een gebogen helling met eenrichtingsverkeer moet een straal van minstens 8 meter hebben met een rijstrook van minstens 3,5 meter breed. Bij hellingen met twee richtingsverkeer geldt dit voor de binnenste rijstrook.De buitenste rijstrook moet ook minstens 3,5 meter breed zijn.</t>
  </si>
  <si>
    <t>Hellingbanen mogen niet steiler zijn dan 20%, gemeten in het midden van de rijbaan. Bij gebogen hellingen voor twee richtingsverkeer geldt dit voor de binnenste rijstrook.</t>
  </si>
  <si>
    <t>Als de garage is uitgerust met slagbomen of afsluitpoorten voor betaald parkeren, moeten bij de betaalautomaten, uitritten en beveiligde toegangen voor voetgangers een intercom aanwezig zijn.</t>
  </si>
  <si>
    <t>Op verzoek moet een kwitantie voor de betaling worden verstrekt.</t>
  </si>
  <si>
    <t>Alle voertuigbewegingen in de garage moeten zonder achteruitsteken uitgevoerd kunnen worden. (uitgezonderd in- en uitdraaien van een parkeervak en doodlopende rijstroken).</t>
  </si>
  <si>
    <t>Verlichting</t>
  </si>
  <si>
    <t>Omschrijving (waardes in Lux)</t>
  </si>
  <si>
    <t>Aanvullend stramien voor 2.8</t>
  </si>
  <si>
    <t>Einde parkeervak, onder/tussen verlichtlingsarmatuur</t>
  </si>
  <si>
    <t>Halverwege parkeervak, onder/tussen verlichtlingsarmatuur</t>
  </si>
  <si>
    <t>Begin parkeervak/rand rijbaan, onder/tussen verlichtlingsarmatuur</t>
  </si>
  <si>
    <t>Midden rijbaan, onder/tussen verlichtlingsarmatuur</t>
  </si>
  <si>
    <t>Rand rijbaan/begin parkeervak overzijde, onder/tussen verlichtlingsarmatuur</t>
  </si>
  <si>
    <t>In- en uitrit</t>
  </si>
  <si>
    <t>Inrijhoogte aangegeven bij de inrit</t>
  </si>
  <si>
    <t>Bord overeenkomstig RVV</t>
  </si>
  <si>
    <t>Hoogtebalk</t>
  </si>
  <si>
    <t>Rubber strip onderzijde hoogtebalk</t>
  </si>
  <si>
    <t>Inrijhoogte: de garage krijgt één punt voor elke 10cm inrijhoogte boven 1.9m tot 2.2 m</t>
  </si>
  <si>
    <t>Informatie bij de inrit:</t>
  </si>
  <si>
    <t>Informatie algemene voorwaarden</t>
  </si>
  <si>
    <t xml:space="preserve">Dagelijkse opening- en sluitingstijd </t>
  </si>
  <si>
    <t>Tarieftabel</t>
  </si>
  <si>
    <t>Duidelijkheid van het tariefsysteem</t>
  </si>
  <si>
    <t>Ontwerp van de in- en uitrit</t>
  </si>
  <si>
    <t>Inrijzuil gemakkelijk bereikbaar</t>
  </si>
  <si>
    <t>Uitrijzuil gemakkelijk bereikbaar</t>
  </si>
  <si>
    <t>Is er een helling naar de kaartgever/lezer?</t>
  </si>
  <si>
    <t xml:space="preserve">Stoeprand van eilanden met schuine kant ter bescherming van banden en velgen </t>
  </si>
  <si>
    <t>Toegangsbeveiliging</t>
  </si>
  <si>
    <t>Slagboom</t>
  </si>
  <si>
    <t>Kentekenherkenning</t>
  </si>
  <si>
    <t>Snel sluitende hekken</t>
  </si>
  <si>
    <t>Personeel (evt in de loge) bij de inrit/uitrit</t>
  </si>
  <si>
    <t>Subtotaal in- en uitrit</t>
  </si>
  <si>
    <t>Bebording voor autoverkeer:</t>
  </si>
  <si>
    <t>Officiele verkeersborden overeenkomstig RVV?</t>
  </si>
  <si>
    <t xml:space="preserve">Is bebording voor routing en bochten: </t>
  </si>
  <si>
    <t>Compleet?</t>
  </si>
  <si>
    <t>Goed zichtbaar?</t>
  </si>
  <si>
    <t xml:space="preserve">Eenduidig? </t>
  </si>
  <si>
    <t xml:space="preserve">Bebording naar de uitrit: </t>
  </si>
  <si>
    <t>Markering van de parkeervakken</t>
  </si>
  <si>
    <t>Parkeervakken duidelijk herkenbaar?</t>
  </si>
  <si>
    <t>Markering van parkeervakken doorgetrokken op de wand om orientatie te verbeteren?</t>
  </si>
  <si>
    <t>Rijstrookmarkeringen</t>
  </si>
  <si>
    <t>Invalidenplaatsen in de garage aangekondigd bij de inrit?</t>
  </si>
  <si>
    <t>Bereikbaar voor rolstoel?</t>
  </si>
  <si>
    <t>Vakken minimal 3,5 m breed?</t>
  </si>
  <si>
    <t>Dichtbij de voetgangersuitgang?</t>
  </si>
  <si>
    <t>Hellingbanen</t>
  </si>
  <si>
    <t>Breedte van rechte hellingbanen (tussen stoepranden) op het smalste punt</t>
  </si>
  <si>
    <t>Toegankelijkheid voor voetgangers</t>
  </si>
  <si>
    <t>Omschrijving</t>
  </si>
  <si>
    <t>Bewegwijzering</t>
  </si>
  <si>
    <t>Gaan de aanwezige liften tot straatniveau?</t>
  </si>
  <si>
    <t>Verdieping indicatie:</t>
  </si>
  <si>
    <t>in de lift:</t>
  </si>
  <si>
    <t>In de lifthal:</t>
  </si>
  <si>
    <t>Toegangsdeuren tot de parkeervloeren</t>
  </si>
  <si>
    <t>Open verbinding = 2</t>
  </si>
  <si>
    <t xml:space="preserve">Vormen liften de hoofdverbinding voor vertical verkeer (trappen alleen voor noodgevallen)? </t>
  </si>
  <si>
    <t>Trappenhuizen: overzicht en orientatie</t>
  </si>
  <si>
    <t>Trappen:</t>
  </si>
  <si>
    <t>Breedte &lt; 1.5 m = 0, &gt; 1.5m = 2</t>
  </si>
  <si>
    <t>Veiligheidstechniek</t>
  </si>
  <si>
    <t>CCTV bij:</t>
  </si>
  <si>
    <t>Inrit:  Ja =1, Nee =0</t>
  </si>
  <si>
    <t>Uitrit:  Ja =1, Nee =0</t>
  </si>
  <si>
    <t>Betaalautomaat:  Ja =1, Nee =0</t>
  </si>
  <si>
    <t>Voetgangers/lifthal op elke verdieping:  Ja =1, Nee =0</t>
  </si>
  <si>
    <t>Trappenhuizen op elke verdieping:  Ja =1, Nee =0</t>
  </si>
  <si>
    <t>Voetgangerstoegang:  Ja =1, Nee =0</t>
  </si>
  <si>
    <t>Parkeervloeren 65%: Ja =3, Nee =0</t>
  </si>
  <si>
    <t>Hellingbanen:  Ja = 1, Nee = 0</t>
  </si>
  <si>
    <t>Assistentie oproepbaar via:</t>
  </si>
  <si>
    <t>Orientatie binnen en buiten de garage</t>
  </si>
  <si>
    <t>Weergave vrije plaatsen</t>
  </si>
  <si>
    <t>Orientatie vanuit de auto</t>
  </si>
  <si>
    <t>Bewegwijzering naar de garage voor auto’s op weg naar de garage</t>
  </si>
  <si>
    <t>Verlichte aanduiding bij de inrit:</t>
  </si>
  <si>
    <t>Comfort en diversen</t>
  </si>
  <si>
    <t>Informatiebord bij voetgangerstoegang met:</t>
  </si>
  <si>
    <t>Betaalmogelijkheden (automaat en uitrit):</t>
  </si>
  <si>
    <t>Pay and Display/ticketautomaten?</t>
  </si>
  <si>
    <t>Toilet in de garage</t>
  </si>
  <si>
    <t>Gebruik van kleuren en afwerking</t>
  </si>
  <si>
    <t>Geschilderde kolommen=1 , grijs beton=0</t>
  </si>
  <si>
    <t>Geschilderde wanden=1 , grijs beton=0</t>
  </si>
  <si>
    <t>Extra verfraaiing:</t>
  </si>
  <si>
    <t>Kunst: Ja = 2, Nee = 0</t>
  </si>
  <si>
    <t>Plantenbakken:  Ja = 1, Nee = 0</t>
  </si>
  <si>
    <t>Andere verfraaiing: Ja = 1, Nee = 0</t>
  </si>
  <si>
    <t>Muziek</t>
  </si>
  <si>
    <t>Energie &amp; Milieu</t>
  </si>
  <si>
    <t>Energie besparende maatregelen mbt verlichting</t>
  </si>
  <si>
    <t>Ja, opstart  ter reductie van piekbelasting= 1</t>
  </si>
  <si>
    <t>Malus Punten</t>
  </si>
  <si>
    <t>Zichtbare aanwezigheid van graffiti</t>
  </si>
  <si>
    <t>Zichtbaar vuil en zwerfvuil</t>
  </si>
  <si>
    <t>Slechte staat van schilderwerk</t>
  </si>
  <si>
    <t xml:space="preserve">Slechte kwaliteit/achterstalling onderhoud, (gaten cq beschadigingen) </t>
  </si>
  <si>
    <t>Stankoverlast</t>
  </si>
  <si>
    <t>Bonus punten</t>
  </si>
  <si>
    <t>Extra voorzieningen in de garage</t>
  </si>
  <si>
    <t>Breedte &lt;90 cm =0, &gt;90 cm = 2</t>
  </si>
  <si>
    <t>Cash munten:  Ja =1, nee =0</t>
  </si>
  <si>
    <t>Wisselgeld teruggave: Ja =1, nee =0</t>
  </si>
  <si>
    <t>Cash bankbiljetten:  Ja =1, nee =0</t>
  </si>
  <si>
    <t>Bank/kredietkaarten:  Ja =1, nee =0</t>
  </si>
  <si>
    <t>Betalen met mobiele telefoon: ja=1, nee=0</t>
  </si>
  <si>
    <t>Betalen met bankkaart of mobiele telefoon aan de uitrit: ja=1, nee=0</t>
  </si>
  <si>
    <t>Identificatie en betalen op basis van kenteken: ja=1, nee=0</t>
  </si>
  <si>
    <t>Ingangspartij; op vloerhoogte:
•  &gt; 200 Lux = 5;
•  75– 200 Lux = 0,04punt per Lux boven 75;
•  &lt; 75 Lux = 0</t>
  </si>
  <si>
    <t>Inrit kaartgever; op 1 m hoogte
•  &gt; 200 Lux = 3;
•  100-200  Lux = 0,03punt per Lux boven 100;
•  • &lt; 100 Lux = 0</t>
  </si>
  <si>
    <t xml:space="preserve">Uitrit kaartlezer; op 1 m hoogte
• &gt; 200 Lux = 3; 
• 100-200 Lux =0,03punt per Lux boven 100;
• &lt; 100 Lux = 0 </t>
  </si>
  <si>
    <t>Bij de kassier; op toonbankhoogte
• &gt; 200 Lux =4;
• 100-200  Lux = 0,04punt per Lux boven 100;
• &lt; 100 Lux= 0;
• Geen kassier  = 3</t>
  </si>
  <si>
    <t>Lighting</t>
  </si>
  <si>
    <t>Uniformity of light levels in grid as standard deviation
•  Under 25% of avg light level = 10;
•  Between25– 50%: 0,4 pt per % under 50%
•  Above 50% =  0</t>
  </si>
  <si>
    <t>Traffic signs to define limitations in use of facility.
• Clear signing = 3
• Incomplete signing = 2
• No signing = 0)</t>
  </si>
  <si>
    <t>Inrit:
• &lt; 2% (auto beweegt niet uit zichzelf) = 1
• 2-5% = 0
• &gt; 5% = -1</t>
  </si>
  <si>
    <t>Entry lane:
• 0-2% (car doesn’t move without brake) = 1
• 2-5% = 0
• Above 5% = -1</t>
  </si>
  <si>
    <t>Uitrit:
• &lt; 2% (auto beweegt niet uit zichzelf) = 1
• 2-5% = 0
• &gt; 5% = -1</t>
  </si>
  <si>
    <t>Exit lane:
• 0-2% (car doesn’t move without brake) = 1
• 2-5% = 0
• Above 5% = -1</t>
  </si>
  <si>
    <t>Kolomopstelling min 85% van de parkeervakken:
• Kolommen compleet buiten de parkeervakken  = 8
• Kolom aan het begin van het vak= 0
• Kolom naast het autoportier = 0
• Kolom achter in het vak maar binnen het vak = 4</t>
  </si>
  <si>
    <t>Pillar placement for at least 85% of bays:
• does not intrude into the parking area = 8 
• at beginning of stall = 0
• next to car door = 0
• at back of stall but intrudes into the parking area = 4</t>
  </si>
  <si>
    <t>Overzichtelijkheid (dode hoeken, wanden in de garage etc )
• Geen = 4, Hier en daar = 2, Veel = 0</t>
  </si>
  <si>
    <t>Totale maat van rijstrook voor éénrichtingsverkeer plus twee vakdieptes, afhankelijk van parkeerhoek en vakbreedte:  
Vakbreedte2.50m / 2.45m / 2.40m / 2.35m / 2.30m 
90° :           16.00 /  16.30 /  16.60 /  16.90 / 17.30
85° :           15.70 /  16.00 /  16.30 /  16.60 / 16.95
80° :           15.40 /  15.70 /  16.00 /  16.30 / 16.60
75° :           14.95 /  15.25 /  15.55 /  15.85 / 16.15
70° :           14.50 /  14.80 /  15.10 /  15.40 / 15.70
65° :           14.40 /  14.40 /  14.55 /  14.80 / 15.10
60° :           14.30 /  14.30 /  14.30 /  14.30 / 14.50
55° :           14.00 /  14.00 /  14.00 /  14.00 / 14.10
50° :           13.75 /  13.75 /  13.75 /  13.75 / 13.75
45° :           13.50 /  13.50 /  13.50 /  13.50 / 13.50
Bovenstaande maat geeft 3 punten. 
Tot 30 cm minder geeft 2 punten 
Tot 60 cm minder geeft 1 punt
Meer dan 60cm minder: geen punten</t>
  </si>
  <si>
    <t>Stoeprand met schuine kant ter bescherming van banden en velgen 
• Ja = 2, Nee =  0</t>
  </si>
  <si>
    <t xml:space="preserve">Hellingbanen in een bocht? 
• moeten 1 m breder zijn voor dezelfde score. </t>
  </si>
  <si>
    <t>Straal buitenkant aanrijbocht naar een rechte hellingbaan:
• &lt;7.5m =0,  7.5 – 9m =1, &gt; 9m  = 2</t>
  </si>
  <si>
    <t>Hellende parkeervloeren:
• &lt;5% =3, 5-7% =1, &gt;7% =0, vlakke vloer = 3</t>
  </si>
  <si>
    <t>Hoogte voor voetgangers op de looproutes op de parkeervloer (excl. Deuren)
• 1,90 – 2,00 m = 0
• 2,00 – 2,10 m = 1
• 2,10 – 2,20 m = 2
• &gt; 2,20 m = 3</t>
  </si>
  <si>
    <t>Headroom for pedestrians - excluding doors
• &lt;2.00m = 0
• 2.00m – 2.10m = 1
• 2.10m – 2.20m = 2
• &gt; 2.20m = 3</t>
  </si>
  <si>
    <t>Gescheiden looproute ( bv verhoogd, zebra of afwijkende kleur)
• ja = 2, nee = 0</t>
  </si>
  <si>
    <t>Zijn deuren gemakkelijk te openen?
• Ja: automatisch of open verbinding = 4
• Gemakkelijk te openen = 2
• Nee = 0</t>
  </si>
  <si>
    <t>Voetgangerstoegang met kaartlezer tijdens openingsuren 
Ja=1, Nee=0</t>
  </si>
  <si>
    <t>Stadsplattegrond op centrale plek in de garage: 
• Bij elke voetgangersuitgang=2, op één plek = 1, nee = 0</t>
  </si>
  <si>
    <t>Bewegwijzering bij voetgangersuitgang naar belangrijke bestemmingen
• Ja = 1, Nee = 0</t>
  </si>
  <si>
    <t>Bewegwijzering naar voetgangerstoegang 
• Ja = 1, Nee = 0</t>
  </si>
  <si>
    <t>Liften vanaf straatniveau
• geen  = 0,  1 lift = 1, 
• 2 of meer liften =5</t>
  </si>
  <si>
    <t>Zicht vanuit lift naar hall of parkeervloeren
• Geen zicht vanuit de lift = 0;
• Deur met glas/glazen wand = 3; 
• Geen lift = 0</t>
  </si>
  <si>
    <t>Liftbediening op rolstoelhoogte 
• Ja = 1,  Nee = 0</t>
  </si>
  <si>
    <t>Zichtbaarheid
• Glazen deur/wand = 3, Niet doorzichtig = 0</t>
  </si>
  <si>
    <t>Duidelijk overzicht, geen dode hoeken
• Ja = 1, Nee = 0</t>
  </si>
  <si>
    <t>Indicatie van de verdieping
• Ja = 1, Nee = 0</t>
  </si>
  <si>
    <t>Geen handreling =0, Eén zijde = 1, Twee zijden=2</t>
  </si>
  <si>
    <t>Extra markering van treden voor slechtzienden 
• Ja = 2, Nee = 0</t>
  </si>
  <si>
    <t>Anti-slip op trappen:
• Ja = 2, Nee = 0</t>
  </si>
  <si>
    <t>Daglicht toetreding in trappenhuis
• Raam of rooster opening =2
• geen  =0</t>
  </si>
  <si>
    <t>• CCTV met aanduiding bij de inrit = 3, 
• Geen CCTV =0</t>
  </si>
  <si>
    <t>Toezicht door personeel (ter plaatse of op afstand) 
• Ja = 5, Nee =  0</t>
  </si>
  <si>
    <t>Intercom bij betaalautomaat, slagbomen etc 
• 24 uur/7 dagen per week=3 
• Openingsuren indien niet 24/7= 2 
• Niet of onduidelijk = 0</t>
  </si>
  <si>
    <t>Noodoproep op de parkeervloeren
• 24 uur/7 dagen per week=3 
• Openingsuren indien niet 24/7= 2 
• Niet of onduidelijk = 0</t>
  </si>
  <si>
    <t>Herkenbaar toeziend personeel in de garage
• 24 uur/7 dagen per week=3 
• Openingsuren indien niet 24/7= 2 
• Af en toe = 1
• Niet = 0</t>
  </si>
  <si>
    <t>Afsluitbare in/uitrit
• Hek of rolpoort na openingsuren= 2
• Snelsluitend hek overdag= 4
• Langzaam sluitend hek of rolpoort overdag= 2
• Geen afsluiting= 0</t>
  </si>
  <si>
    <t>Afsluitbare voetgangerstoegang buiten openingtijd
• Rolhek of deur met openingen &lt; 15cm = 2
• Rolhek of deur met grotere openingen= 0
• Geen afsluiting= 0
• Irrelevant (24 uur  opening) = 2</t>
  </si>
  <si>
    <t>Roosters in externe openingen &amp; afsluithekken
• &lt;= 15 cm = 2, &gt; 15 cm of geen rooster= 0</t>
  </si>
  <si>
    <t>Op vloer niveau
• Ja/goed = 2, nee/slecht = 0</t>
  </si>
  <si>
    <t>Per parkeer rij
• Ja/goed = 1, nee/slecht = 0</t>
  </si>
  <si>
    <t>Per plaats
• Ja/goed = 2, nee/slecht = 0</t>
  </si>
  <si>
    <t>Is elke parkeerlaag duidelijk herkenbaar? 
• goed =3, acceptabel =2, matig =1, nee =0</t>
  </si>
  <si>
    <t>Zijn delen per parkeerlaag duidelijk gemarkeerd en herkenbaar?
• goed =3, acceptabel =2, matig =1, nee =0</t>
  </si>
  <si>
    <t>Is  er extra bebording of markering om voetgangers op de parkeervloer te geleiden?
• goed =2, hier en daar =1, geen = 0</t>
  </si>
  <si>
    <t>Zijn parkeervakken voorzien van identificatie?
• Nummering incl vloeraanduiding=2
• Alleen nummering=1
• Geen=0</t>
  </si>
  <si>
    <t>Gebruik van kleuren voor oriëntatie 
• Ja= 1, Nee= 0</t>
  </si>
  <si>
    <t>Alleen statische borden
• Ja = 1, Nee = 0</t>
  </si>
  <si>
    <t>Dynamische aanduiding vol/vrij of plaatsen, extra:
• Ja = 1, Nee = 0</t>
  </si>
  <si>
    <t xml:space="preserve">Signaal kruis/pijl aanduiding rijrichting
• Ja = 1, Nee = 0 </t>
  </si>
  <si>
    <t>Signaal vol/vrij 
• Ja = 1, Nee = 0</t>
  </si>
  <si>
    <t>Aanduiding voetgangerstoegang
• Ja = 1, Nee = 0</t>
  </si>
  <si>
    <t>Openingstijden normale en bijzondere dagen
• Ja = 1, Nee = 0</t>
  </si>
  <si>
    <t>Duidelijke tarieftabel
• Ja = 1, Nee = 0</t>
  </si>
  <si>
    <t>Algemene Voorwaarden Exploitant
• Ja = 1, Nee = 0</t>
  </si>
  <si>
    <t>Andere betaalmogelijkheden:
• 1 punt per extra mogelijkheid tot max 3</t>
  </si>
  <si>
    <t>Aantal betaalpunten bij garages met slagbomen
• Eén = 0,  Meer dan één  =1
• Eén bij iedere voetgangerstoegang =2
• Meer dan gemiddeld één per voetgangerstoegang =3</t>
  </si>
  <si>
    <t>Pay and Display/ticketautomaten
• Eén=0,
• &lt;1/50 plaatsen=2,
• &gt;1/50 plaatsen=3</t>
  </si>
  <si>
    <t>• Ja= 2, nee= 0</t>
  </si>
  <si>
    <t>Mindervaliden toilet:  
• Ja=1, nee= 0</t>
  </si>
  <si>
    <t>• Één toilet = 0, man/vrouw apart toilet = 1</t>
  </si>
  <si>
    <t>Toezicht: 
• Ja=1, nee= 0</t>
  </si>
  <si>
    <t>Dekking mobiele telefoon in de garage
• Ja = 2, Nee = 0</t>
  </si>
  <si>
    <t>Dekking radio signaal in de garage
• Ja = 1, Nee = 0</t>
  </si>
  <si>
    <t>Achtergrondmuziek:  
• ja = 2, Nee = 0</t>
  </si>
  <si>
    <t>Ondersteuning voor orientatie :  
• Ja =1, Nee = 0</t>
  </si>
  <si>
    <t>Licht schakeling op bewegingsdetectie
• Ja=2, Nee=0</t>
  </si>
  <si>
    <t>Verlichting aanpassend aan externe omstandigheden (daglichtcompensatie) aan de inrit:
• Ja= 2, Nee=0
Irrelevant (ondergronds) =2</t>
  </si>
  <si>
    <t>Verlichting aanpassend aan externe omstandigheden (daglichtcompensatie) op de parkeervloer:
• Ja= 2, Nee=0
• Irrelevant (ondergronds) =2</t>
  </si>
  <si>
    <t>Zonnepanelen op het dak of andere groene energie:
• Ja= 2, Nee=0</t>
  </si>
  <si>
    <t>Gescheiden afvoer afvalwater (bv olie- of slibvangers) 
• Ja=2, Nee=0</t>
  </si>
  <si>
    <t>Scheiding drink- en spoelwater cq hergebruik van regenwater:
• Ja=2, Nee=0</t>
  </si>
  <si>
    <t>Laadpunten voor elektrische auto’s
• Ja, meer dan één=2, Eén = 1, Nee=0</t>
  </si>
  <si>
    <t>Deelauto’s etc
• Ja, meer dan één =2, Eén = 1, Nee=0</t>
  </si>
  <si>
    <t>Overige milieu initiatieven:
• Ja=2, Nee=0</t>
  </si>
  <si>
    <t>Trappenhuizen
• Ja= -2, Nee= 0</t>
  </si>
  <si>
    <t>Lift
• Ja= -2, Nee= 0</t>
  </si>
  <si>
    <t>Toiletten
• Ja= -2, Nee= 0</t>
  </si>
  <si>
    <t>Parkeervloer
• Ja= -2, Nee= 0</t>
  </si>
  <si>
    <t>Buitenmuur
• Ja= -2, Nee= 0</t>
  </si>
  <si>
    <t>Buitenzijde inrit en voetgangersentree
• Ja= -2, Nee= 0</t>
  </si>
  <si>
    <t>Slechte kwaliteit van markeringen 
• Ja= -2, Nee= 0</t>
  </si>
  <si>
    <t>Wanden
Ja= -2, Nee= 0</t>
  </si>
  <si>
    <t>Lekkages en/of plasvorming
• Ja= -2, Nee= 0</t>
  </si>
  <si>
    <t>Meer dan 15% van de plaatsen in doodlopende stukken zonder volindicatie
• Ja= -5, Nee= 0</t>
  </si>
  <si>
    <t>Overige punten van kritiek (uit te leggen!)
(Bv piepende banden, geluidsoverlast, ongewenste gasten, etc) tot -10 punten</t>
  </si>
  <si>
    <t>Plaatsen voor motorfietsen
• Ja= 1, Nee= 0</t>
  </si>
  <si>
    <t>Kluisjes voor klantgebruik
• Ja= 1, Nee= 0</t>
  </si>
  <si>
    <t>Andere voorzieningen
• Ja= 1, Nee= 0</t>
  </si>
  <si>
    <t>Fietsverhuur
• Ja= 1, Nee= 0</t>
  </si>
  <si>
    <t>Overige services voor automobilisten
• Ja= 1, Nee= 0</t>
  </si>
  <si>
    <t>Verkoopautomaat
• Ja= 1, Nee= 0</t>
  </si>
  <si>
    <t>Hart defibrillator
• Ja= 1, Nee= 0</t>
  </si>
  <si>
    <t>EHBO getraind personeel
• Ja= 1, Nee= 0</t>
  </si>
  <si>
    <t>Actuele verkeersgegevens
• Ja= 1, Nee= 0</t>
  </si>
  <si>
    <t>Overige actuele informatie, bv evenementen
• Ja= 1, Nee= 0</t>
  </si>
  <si>
    <t>Maatregelen om opstopping bij pieken te voorkomen, bv wisselstrook aan de in/uitrit
• Ja= 3, Nee= 0</t>
  </si>
  <si>
    <t>Keermogelijkheid voor hoogtebalk of volsignaal om achteruitrijden te voorkomen
• Ja= 3, Nee= 0</t>
  </si>
  <si>
    <t>Klantenservice balie
• Ja= 1, Nee= 0</t>
  </si>
  <si>
    <t>Roltrappen of rolpaden (geschikt voor winkelwagens)
• Naar/van alle parkeerlagen=5
• Naar/van sommige parkeerlagen=3
• Geen=0</t>
  </si>
  <si>
    <t>Terugvinden van auto op basis van kaartje of kenteken:
• Ja= 1, Nee= 0</t>
  </si>
  <si>
    <t>Overige positieve punten (uit te leggen!)
(bijv extra service, vriendelijk personeel, inpassing van de garage in de omgeving) tot 10 punten</t>
  </si>
  <si>
    <t>Dutch</t>
  </si>
  <si>
    <t>zonnig</t>
  </si>
  <si>
    <t>bewolkt</t>
  </si>
  <si>
    <t>regen</t>
  </si>
  <si>
    <t>schemer</t>
  </si>
  <si>
    <t>donker</t>
  </si>
  <si>
    <t xml:space="preserve"> circa 50%</t>
  </si>
  <si>
    <t>Accoord</t>
  </si>
  <si>
    <t>Niet accoord</t>
  </si>
  <si>
    <t>Ja</t>
  </si>
  <si>
    <t>Nee</t>
  </si>
  <si>
    <t>Duidelijke bebording</t>
  </si>
  <si>
    <t>Incomplete bebording</t>
  </si>
  <si>
    <t>Geen bebording</t>
  </si>
  <si>
    <t>&gt; 5%</t>
  </si>
  <si>
    <t>Geen bescherming voor wielen</t>
  </si>
  <si>
    <t>Geen trottoirbanden bij in/uitrit</t>
  </si>
  <si>
    <t>Glad bij nat wegdek</t>
  </si>
  <si>
    <t>Kolom aan het begin van het parkeervak</t>
  </si>
  <si>
    <t>Kolom naast het autoportier</t>
  </si>
  <si>
    <t>Goed</t>
  </si>
  <si>
    <t>Acceptabel</t>
  </si>
  <si>
    <t>Slecht</t>
  </si>
  <si>
    <t xml:space="preserve"> Meer dan 2.50 m</t>
  </si>
  <si>
    <t>In overeenstemming met de tabel</t>
  </si>
  <si>
    <t>Tot 30 cm minder</t>
  </si>
  <si>
    <t>Tot 60 cm minder</t>
  </si>
  <si>
    <t>&gt;60 cm minder</t>
  </si>
  <si>
    <t>glad</t>
  </si>
  <si>
    <t>Geen hellingen</t>
  </si>
  <si>
    <t>Ja (automatische deur of open verbinding)</t>
  </si>
  <si>
    <t>Gemakkelijk te openen</t>
  </si>
  <si>
    <t>Bij elke voetgangersuitgang</t>
  </si>
  <si>
    <t>Twee of meer liften</t>
  </si>
  <si>
    <t>Meer dan 8 personen</t>
  </si>
  <si>
    <t>Minder dan 4 personen</t>
  </si>
  <si>
    <t>Geen zicht vanuit de lift</t>
  </si>
  <si>
    <t>Glas in deur of wanden</t>
  </si>
  <si>
    <t>Geen lift</t>
  </si>
  <si>
    <t>Glazen deur/wand</t>
  </si>
  <si>
    <t>Geen glas</t>
  </si>
  <si>
    <t>Geen handreling</t>
  </si>
  <si>
    <t>Handreling aan twee kanten</t>
  </si>
  <si>
    <t>Raam of rooster</t>
  </si>
  <si>
    <t>Geen opening</t>
  </si>
  <si>
    <t>24 * 7</t>
  </si>
  <si>
    <t>Alle openingsuren indien geen 7*24</t>
  </si>
  <si>
    <t>Part time of niet beschikbaar</t>
  </si>
  <si>
    <t>Gedurende toegangsuren</t>
  </si>
  <si>
    <t>Minder dan de toegangsuren</t>
  </si>
  <si>
    <t>Geen</t>
  </si>
  <si>
    <t>Afgesloten toegang buiten openingsuren</t>
  </si>
  <si>
    <t>Beveiligd: snelle poort gedurende de dag</t>
  </si>
  <si>
    <t>Beveiligd: langzame poort gedurende de dag</t>
  </si>
  <si>
    <t>Geen voorzieningen</t>
  </si>
  <si>
    <t>Toegangsdeur met openingen &lt;= 15 cm</t>
  </si>
  <si>
    <t>Toegangsdeur met openingen &gt; 15 cm</t>
  </si>
  <si>
    <t>Geen afgesloten toegangsdeur</t>
  </si>
  <si>
    <t>NVT, 24 uur opening</t>
  </si>
  <si>
    <t>&gt;15 cm of geen beveiliging</t>
  </si>
  <si>
    <t>NVT, geen openingen naar buiten</t>
  </si>
  <si>
    <t>Ja/goed</t>
  </si>
  <si>
    <t>Nee/slecht</t>
  </si>
  <si>
    <t>Zichtbaar vanaf elke plek</t>
  </si>
  <si>
    <t>Zichtbaar vanaf de meeste plekken</t>
  </si>
  <si>
    <t>Zichtbaar vanaf somming plekken</t>
  </si>
  <si>
    <t>Geen aanduiding van vluchtroutes</t>
  </si>
  <si>
    <t>Soms</t>
  </si>
  <si>
    <t>Nummers met niveau indicatie</t>
  </si>
  <si>
    <t>Alleen nummers</t>
  </si>
  <si>
    <t>Meer betaalautomaten</t>
  </si>
  <si>
    <t>&lt;1 per 50 plaatsen</t>
  </si>
  <si>
    <t>&gt;1 per 50 plaatsen</t>
  </si>
  <si>
    <t>M/V gecombineerd</t>
  </si>
  <si>
    <t>Apart voor M en V</t>
  </si>
  <si>
    <t>Geschilderde kolommen</t>
  </si>
  <si>
    <t>Nee, beton grijs</t>
  </si>
  <si>
    <t>Geschilderde wanden</t>
  </si>
  <si>
    <t>Meerdere laadpunten</t>
  </si>
  <si>
    <t>Naar/van alle niveaus</t>
  </si>
  <si>
    <t>Naar/van enkele niveaus</t>
  </si>
  <si>
    <t>Geen roltrap</t>
  </si>
  <si>
    <t>Geen hellingbanen</t>
  </si>
  <si>
    <t xml:space="preserve">Geen hellingbanen </t>
  </si>
  <si>
    <t>Geen helling, vlakke vloer</t>
  </si>
  <si>
    <t>'s morgens</t>
  </si>
  <si>
    <t>'s middags</t>
  </si>
  <si>
    <t>'s avonds</t>
  </si>
  <si>
    <t>2.00m - 2.10m</t>
  </si>
  <si>
    <t>2.10m - 2.20m</t>
  </si>
  <si>
    <t>4 - 8 personen</t>
  </si>
  <si>
    <t>9m - 10m</t>
  </si>
  <si>
    <t>7.5m - 9m</t>
  </si>
  <si>
    <t>Gereed</t>
  </si>
  <si>
    <t>Nog niet gereed</t>
  </si>
  <si>
    <t>Commentaar</t>
  </si>
  <si>
    <t>Aantal accoord</t>
  </si>
  <si>
    <t>Aantal niet accoord</t>
  </si>
  <si>
    <t>Niet ingevuld</t>
  </si>
  <si>
    <t>Niet compleet</t>
  </si>
  <si>
    <t>Totaal items</t>
  </si>
  <si>
    <t>Totaal incl sub-items</t>
  </si>
  <si>
    <t>Items ingevuld</t>
  </si>
  <si>
    <t>Maximun score</t>
  </si>
  <si>
    <t>% Score</t>
  </si>
  <si>
    <t>Categorie gewichtsfactor</t>
  </si>
  <si>
    <t>Score overzicht</t>
  </si>
  <si>
    <t>Categorie</t>
  </si>
  <si>
    <t>Aantal items</t>
  </si>
  <si>
    <t>Nog in te vullen</t>
  </si>
  <si>
    <t>% score</t>
  </si>
  <si>
    <t>Minimum vereiste</t>
  </si>
  <si>
    <t>Score punten</t>
  </si>
  <si>
    <t>% ingevuld</t>
  </si>
  <si>
    <t>Subtotaal</t>
  </si>
  <si>
    <t>Totaal</t>
  </si>
  <si>
    <t>Minimum vereiste voor ESPA award</t>
  </si>
  <si>
    <t>Resultaat meting</t>
  </si>
  <si>
    <t>Maximum bijdrage eindscore</t>
  </si>
  <si>
    <t>Bijdrage voor eindscore</t>
  </si>
  <si>
    <t>Opmerkingen</t>
  </si>
  <si>
    <t>Minimum vereiste  punten per categorie behaald</t>
  </si>
  <si>
    <t>Français</t>
  </si>
  <si>
    <t>Langue</t>
  </si>
  <si>
    <t>Pays</t>
  </si>
  <si>
    <t>Nom du parking</t>
  </si>
  <si>
    <t>Adresse</t>
  </si>
  <si>
    <t>Ville</t>
  </si>
  <si>
    <t>Nombre de places de stationnement</t>
  </si>
  <si>
    <t>Personne de contact</t>
  </si>
  <si>
    <t>Conditions minimales obligatoires</t>
  </si>
  <si>
    <t>Téléphone</t>
  </si>
  <si>
    <t>Evalué par</t>
  </si>
  <si>
    <t>Conditions de l’évaluation</t>
  </si>
  <si>
    <t>Moment de la journée</t>
  </si>
  <si>
    <t>Conditions météo</t>
  </si>
  <si>
    <t>Taux d’occupation</t>
  </si>
  <si>
    <t>Le parking doit être à usage public</t>
  </si>
  <si>
    <t>Hauteur minimale au plafond=1.90m dans la majorité des espaces dédiés au public. Les quelques éventuels passages plus bas doivent être clairement signalés .</t>
  </si>
  <si>
    <t>Il doit y avoir minimum une  voie d’entrée et une voie de sortie, une troisième voie bidirectionnelle est autorisée.</t>
  </si>
  <si>
    <t>L’inclinaison de la rampe ne peut excéder 20%.Il doit être mesurée au centre de la voie de circulation. Pour les rampes courbes bidirectionnelles, ceci s’applique à la voie intérieure la plus abrupte.</t>
  </si>
  <si>
    <t>70% des emplacements doivent faire au moins 2.30m de large.
Pour des parkings rénovés de plus de 10 ans, une largeur minimum de 2.25m est tolérée. Cependant, dans ce cas, une pénalité de 5 points est appliquée, à compenser ailleurs.</t>
  </si>
  <si>
    <t>Toutes les rampes droites à trafic unidirectionnel doivent faire minimum 2.70m de large.
En cas de rampes bidirectionnelles, celles-ci doivent faire  minimum 6m de large avec marquage des voies.
La largeur des rampes est mesurée entre les murs ou piliers.</t>
  </si>
  <si>
    <t>Les rampes courbes pour un trafic unidirectionnel doivent présenter un radius externe de minimum 8m avec des voies de minimum 3.50m de large.
Pour des rampes courbes bidirectionnelles, les mesures sont d’application pour la voie intérieure de la courbe.La voie extérieure doit être de minimum 3.50m de large.</t>
  </si>
  <si>
    <t>Si le parking est payant et dispose d’un contrôle d’accès par barrières ou portails, un personnel de service doit pouvoir être contacté aux bornes de paiement, aux bornes de sorties et aux entrées piétons sécurisées.</t>
  </si>
  <si>
    <t>Un reçu de paiement doit pouvoir être délivré en cas de demande.</t>
  </si>
  <si>
    <t>Tous les mouvements de véhicule doivent pouvoir être effectués sans devoir effectuer une marche arrière (exception faite pour se garer ou sortir d’un emplacement ainsi que les culs-de-sac).</t>
  </si>
  <si>
    <t>Eclairage</t>
  </si>
  <si>
    <t>Liste des mesures à effectuer ( valeurs en Lux,  se référer au manuel des mesures).</t>
  </si>
  <si>
    <t>Aire d’entrée des véhicules, mesures effectuées au niveau du sol.
•  Plus de 200 Lux = 5;
•  Entre 75– 200 Lux: 0,04 pt par Lux au-delà de 75  
•  Moins de 75 Lux = 0</t>
  </si>
  <si>
    <t>Entrée ;  à 1m de hauteur près de la borne d’entrée (tickets)
•  Plus de 200 Lux = 3;
•  Entre 100– 200 Lux: 0,03 pt par Lux au-delà de 100
•  Moins de 100 Lux = 0</t>
  </si>
  <si>
    <t>Sortie ;  à 1 m de hauteur près de la borne  de sortie (tickets)
•  Plus de 200 Lux = 3;
•  Entre 100– 200 Lux: 0,03 pt par Lux au-delà de 100
•  Moins de 100 Lux= 0</t>
  </si>
  <si>
    <t>Au niveau des bornes de paiement , à 1m de hauteur
•  Plus de 200 Lux =4;
•  Entre 100– 200 Lux: 0,04 pt par Lux au-delà de 100
•  Moins de 100 Lux= 0;
•  Si pas de bornes de paiement, identique qu’à la sortie</t>
  </si>
  <si>
    <t>Auprès du caissier, à hauteur du comptoir
•  Plus de 200 Lux =4;
•  Entre 100– 200 Lux: 0,04 pt par Lux au-delà de 100
•  Moins de 100 Lux= 0;
•  Pas de caissier = 3</t>
  </si>
  <si>
    <t>Dans les ascenseurs, au niveau du sol
•  Plus de  70 Lux = 4;
•  Entre 30– 70 Lux: 0,1 pt par Lux au-delà de 30
•  Moins de 30 Lux = 0;
•  Pas d’ascenseur, parking sur un niveau = 3</t>
  </si>
  <si>
    <t>Dans les cages d’escaliers et tout autre accès exclusivement réservé aux piétons, au niveau du sol
•  Plus de 90 Lux = 3;
•  Entre 30– 90 Lux: 0,05 pt par Lux au-delà de 30
•  Moins de 30 Lux = 0;</t>
  </si>
  <si>
    <t>Eclairages des aires de stationnement, à mesurer au niveau du sol: (remplissez la grille ci-dessous svp) 
Moyenne des mesures reprises dans la grille:
•  Plus de 100 Lux= 10;
•  Entre 20– 100 Lux: 0,125 pt par Lux au-delà de 20 
•  Moins de 20 Lux= 0</t>
  </si>
  <si>
    <t>Uniformité de l’éclairage selon les mesures rapportées sur la grille (calcul par écart-type) 
•  Moins de 25% de la moyenne d’éclairage = 10;
•  Entre  25– 50%: 0,4 pt par % en dessous de 50%
•  Plus de 50% =  0</t>
  </si>
  <si>
    <t>Grille annexe au point 2.8</t>
  </si>
  <si>
    <t>Fond aire de stationnement sous/entre points lumineux</t>
  </si>
  <si>
    <t>Milieu aire de stationnement sous/entre points lumineux</t>
  </si>
  <si>
    <t>Début aire de stationnement sous/entre points lumineux</t>
  </si>
  <si>
    <t>Centre de la voie de circulation sous/entre points lumineux.</t>
  </si>
  <si>
    <t>Voie de circulation côté opposé à l’aire de stationnement sous/entre points lumineux</t>
  </si>
  <si>
    <t>Entrée / Sortie des voitures</t>
  </si>
  <si>
    <t>Limite d’hauteur de plafond annoncée à l’entrée du parking</t>
  </si>
  <si>
    <t>Signalisation correcte à l’entrée</t>
  </si>
  <si>
    <t>Barre d’hauteur</t>
  </si>
  <si>
    <t>Rebord caoutchouc sur barre pour prévenir dommages aux toits</t>
  </si>
  <si>
    <t>Hauteur
(Le parking reçoit 1 point par tranche de 10cm au-delà de 1.90m jusqu’à 2.20m)</t>
  </si>
  <si>
    <t>Panneaux de signalisation stipulant les limites concernant le parking.
(Signalisation claire = 3, Signalisation incomplète = 2, Pas de signalisation = 0)</t>
  </si>
  <si>
    <t>Information concernant:</t>
  </si>
  <si>
    <t>Règlement intérieur du parking</t>
  </si>
  <si>
    <t>Heures d’ouverture</t>
  </si>
  <si>
    <t>Grille tarifaire</t>
  </si>
  <si>
    <t>Lisibilité de la grille tarifaire</t>
  </si>
  <si>
    <t>Conception des zones d’entrée et de sortie</t>
  </si>
  <si>
    <t>Entrée: borne de tickets facilement atteignable</t>
  </si>
  <si>
    <t>Sortie: borne de tickets facilement atteignable</t>
  </si>
  <si>
    <t>Pente longitudinale de la voie près des bornes de tickets</t>
  </si>
  <si>
    <t>Entrée:
(0-2% (le véhicule ne bouge pas sans poser le pied sur le frein) = 1, 2-5% = 0, Plus de 5% = -1)</t>
  </si>
  <si>
    <t>Sortie:
(0-2% (le véhicule ne bouge pas sans poser le pied sur le frein) = 1, 2-5% = 0, Plus de 5% = -1)</t>
  </si>
  <si>
    <t>Forme spécifique des bordures pour éviter tout dommage  aux jantes  :
(Oui = 2, Pas de protection = 0, Pas de bordures dans la zone d’entrée /de sortie = 2)</t>
  </si>
  <si>
    <t>Surface anti-dérapante dans les rampes d’entrée/de sortie:
(Anti-dérapant = 1, Glissant si mouillé = 0)</t>
  </si>
  <si>
    <t>Sécurité des accès</t>
  </si>
  <si>
    <t>Barrières</t>
  </si>
  <si>
    <t>Interphonie</t>
  </si>
  <si>
    <t>Vidéosurveillance</t>
  </si>
  <si>
    <t>Reconnaissance plaques d’immatriculation</t>
  </si>
  <si>
    <t>Grilles de fermeture sur la hauteur totale</t>
  </si>
  <si>
    <t>Personnel présent (en entrée ou en sortie)</t>
  </si>
  <si>
    <t>Largeur des entrées/sorties du bâtiment entre les structures (par voie)
(&lt; 3 m =0, 3 – 3.3 m =1, &gt; 3.3 m = 2)</t>
  </si>
  <si>
    <t>Sortie: la pente de  sortie s’arrête au plus tard 5m avant le croisement avec le trafic (piétons/cyclistes).</t>
  </si>
  <si>
    <t>Sous-total – Entrée / Sortie des voitures</t>
  </si>
  <si>
    <t>Aires de stationnement</t>
  </si>
  <si>
    <t>Présence de piliers pour au moins 85% des emplacements:
(ne déborde pas sur l’aire de stationnement = 8, au début de l’aire de stationnement= 0, près de la portière de voiture = 0, au fond de l’emplacement mais déborde sur celui-ci = 4)</t>
  </si>
  <si>
    <t>Visibilité (beaucoup/peu d’angles morts, de murs dans le parking,etc.)
Bien=4, Moyen=2 ou Mauvais=0</t>
  </si>
  <si>
    <t>Signalisation pour le conducteur</t>
  </si>
  <si>
    <t>Les panneaux de signalisation sont-ils conformes au code de la route du pays?</t>
  </si>
  <si>
    <t>Signalisation directionnelle: est-elle claire, complète, non équivoque.</t>
  </si>
  <si>
    <t>Complète?</t>
  </si>
  <si>
    <t>Facile à voir?</t>
  </si>
  <si>
    <t>Sans equivoque?</t>
  </si>
  <si>
    <t>Les panneaux indiquant la sortie du parking: la signalisation est-elle claire, complète, sans équivoque?</t>
  </si>
  <si>
    <t>Sans équivoque?</t>
  </si>
  <si>
    <t>Marquage des emplacements</t>
  </si>
  <si>
    <t>Les emplacements sont-ils clairement marqués?</t>
  </si>
  <si>
    <t>Le marquage des emplacements est-il prolongé sur les murs pour assister le conducteur?</t>
  </si>
  <si>
    <t>Le marquage routier au sol est-il :</t>
  </si>
  <si>
    <t>Complet?</t>
  </si>
  <si>
    <t>La présence et l’emplacement des places pour handicapés en chaise roulante sont-ils annoncés à l’entrée du parking?</t>
  </si>
  <si>
    <t>Accessibilité pour chaises roulantes?</t>
  </si>
  <si>
    <t>Largeur minimum des emplacements de 3.50m ?</t>
  </si>
  <si>
    <t>Près des sorties piétons?</t>
  </si>
  <si>
    <t>Guidage vers les emplacements handicapés?</t>
  </si>
  <si>
    <t>Angle pour 85% des emplacements de parkings
(Angle 76-90° = 0, Angle  45-75° = 2)</t>
  </si>
  <si>
    <t>Largeur des emplacements (85 % des emplacements ), A ou B: 
A: Angle de parking entre 76 – 90 degrés
(2.25m = -5, 2.30m = 0, 2.35m = 2, 2.40m = 4, 2.45m = 6, 2.50m = 8) 
B: Angle de parking entre 45-75 degrés
(2.25m = -5, 2.30m = 1, 2.35m = 3, 2.40m = 5, 2.45m = 8)
La largeur de 2.25m est uniquement applicable  pour d’anciens parkings rénovés, les nouveaux parkings doivent presenter une largeur minimum de 2.30m</t>
  </si>
  <si>
    <t>Métrage total d’une surface constituée de  un emplacement, une voie de circulation et un emplacement (en fonction de la largeur et de la profondeur des emplacements) :
Largeur des emplacements: 2.50m / 2.45m / 2.40m / 2.35m / 2.30m
90° :           16.00 /  16.30 /  16.60 /  16.90 / 17.30
85° :           15.70 /  16.00 /  16.30 /  16.60 / 16.95
80° :           15.40 /  15.70 /  16.00 /  16.30 / 16.60
75° :           14.95 /  15.25 /  15.55 /  15.85 / 16.15
70° :           14.50 /  14.80 /  15.10 /  15.40 / 15.70
65° :           14.40 /  14.40 /  14.55 /  14.80 / 15.10
60° :           14.30 /  14.30 /  14.30 /  14.30 / 14.50
55° :           14.00 /  14.00 /  14.00 /  14.00 / 14.10
50° :           13.75 /  13.75 /  13.75 /  13.75 / 13.75
45° :           13.50 /  13.50 /  13.50 /  13.50 / 13.50
Un métrage total supérieur aux cotes ci-dessus donne droit à 3 points. 
Jusqu’à 30 cm de moins donne droit à 2 points
Jusqu’à 60 cm de moins donne droit à 1 point
Plus de  60 cm en moins: pas de points attribués</t>
  </si>
  <si>
    <t>Bordures conçues pour éviter des dommages aux jantes
•  Oui = 2, Pas de protection = 0</t>
  </si>
  <si>
    <t>Rampes pour véhicules</t>
  </si>
  <si>
    <t>S’agit-il d’un parking d’un seul niveau sans rampe pour voitures ou de surface en pente?</t>
  </si>
  <si>
    <t>Surface des rampes entre les étages de stationnement ( Anti dérapant 1; Lisse 0, Pas de rampes 1)</t>
  </si>
  <si>
    <t>L’inclinaison longitudinale des rampes est-elle de (pour rampes non utilisées pour le stationnement)
•  &lt;10%=3, 10-15%=1, &gt;15%=0, pas de rampes=3</t>
  </si>
  <si>
    <t>Largeur des rampes ( entre les bordures), toutes les rampes étant mesurées aux points les plus étroits</t>
  </si>
  <si>
    <t>Les rampes courbes doivent  être 1m plus larges pour obtenir le même score. Les rampes sont-elles courbes ?</t>
  </si>
  <si>
    <t>Rayon de courbure des rampes courbes ( radius externe)
•  jusqu’à  9m=0, 9–10 m=1, &gt;10m=2, pas de rampes=2
Pour une rampe à double sens, cette mesure se réfère à la voie intérieure.</t>
  </si>
  <si>
    <t>Courbe d’approche d’une rampe d’accès
•  &lt;7.5m=0, 7.5–9m=1, &gt;9m=2, pas de rampe=2</t>
  </si>
  <si>
    <t>Inclinaison longitudinale d’une rampe pourvue d’emplacements de parking
•  &lt;5%=3, 5-7 =1, &gt;7%=0, pas d’inclinaison=3</t>
  </si>
  <si>
    <t>Accès piétons</t>
  </si>
  <si>
    <t>Description</t>
  </si>
  <si>
    <t>Hauteur de plafond zones piétonnes ( portes exceptées)
(&lt;2.00m = 0, 2.00m – 2.10m = 1, 2.10m – 2.20m = 2, &gt; 2.20m = 3)</t>
  </si>
  <si>
    <t>Voies piétonnes séparées (par ex: surélevées, marquages passages piétons ,utilisation couleur) (oui = 2, non = 0)</t>
  </si>
  <si>
    <t>Les portes pour piétons sont-elles facile à utiliser?
(Oui, portes automatiques ou passage ouvert = 4, Facile à ouvrir = 2, No = 0)</t>
  </si>
  <si>
    <t>Accès piétons contrôlés par lecteurs de tickets/cartes durant les heures d’ouverture  (Oui=2,Non=0)</t>
  </si>
  <si>
    <t>Plan de ville affiché à un endroit de passage:
(A chaque sortie piétonne= 2, A un endroit = 1, Non = 0)</t>
  </si>
  <si>
    <t>Guidage</t>
  </si>
  <si>
    <t>A la sortie piétons vers les principaux points d’attraction autour du parking  (Oui=1, Non=0):</t>
  </si>
  <si>
    <t>Aux alentours du parking vers les entrées piétonnes (Oui=1, Non=0):</t>
  </si>
  <si>
    <t>Est-ce un parking sur un seul niveau en rez-de-chaussée, (pas à ciel ouvert)?</t>
  </si>
  <si>
    <t>Y a-t-il des ascenseurs desservant le niveau rez-de-chaussée?</t>
  </si>
  <si>
    <t>Nombre d’ascenseurs au niveau rez-de-chaussée:
(1 ascenseur = 1, 2 ascenseurs ou + = 5)</t>
  </si>
  <si>
    <t>Taille des ascenseurs:
(Plus de 8 personnes = 3, 4-8 personnes = 1, moins de 4 personnes= 0)</t>
  </si>
  <si>
    <t>Visibilité depuis l’ascenseur vers le hall/parking
(pas de visibilité depuis l’ascenseur = 0, portes/murs vitré(e)s = 3, pas d’ascenseur = 0)</t>
  </si>
  <si>
    <t>Indication de l’étage</t>
  </si>
  <si>
    <t>Dans l’ascenseur</t>
  </si>
  <si>
    <t>Dans le hall d’ascenseur</t>
  </si>
  <si>
    <t>Les boutons des ascenseurs sont-ils à hauteur d’une chaise roulante
•  Oui = 1, Autre = 0</t>
  </si>
  <si>
    <t>Portes directement vers les aires de stationnement</t>
  </si>
  <si>
    <t>Largeur (&lt;90 cm =0, &gt;=90 cm = 2)</t>
  </si>
  <si>
    <t>Portes d’évacuation de secours, en position ouverte (électroaimant) (Oui=2, Non= 0)</t>
  </si>
  <si>
    <t>Visibilité (Portes/murs vitrés)= 3, Pas de vitres = 0</t>
  </si>
  <si>
    <t>Les ascenseurs sont-ils le principal moyen d’accéder aux étages? (escaliers uniquement pour évacuation de secours ou secondaires)</t>
  </si>
  <si>
    <t>Cages d’escaliers (visibilité et orientation)</t>
  </si>
  <si>
    <t>Vue dégagée (Oui = 1, Non = 0, Pas d’application= 1)</t>
  </si>
  <si>
    <t>Indication d’étage (Oui = 1, Non = 0, Pas d’application = 1)</t>
  </si>
  <si>
    <t>Escaliers (y compris visibilité renforcée des marches)</t>
  </si>
  <si>
    <t>Largeur (&lt; 1.5 m = 0, &gt; 1.5m = 2)</t>
  </si>
  <si>
    <t>Main courante (Pas de main courante=0, D’un seul côté = 1, Des deux côtés=2)</t>
  </si>
  <si>
    <t>Visibilité renforcée des marches pour personne souffrant d’une déficience de la vue (Oui = 2, Non = 0)</t>
  </si>
  <si>
    <t>Surface anti-dérapante sur les marches (Oui = 2, Non = 0)</t>
  </si>
  <si>
    <t>Equipements de sécurité</t>
  </si>
  <si>
    <t>Vidéosurveillance avec affichage légal à l’entrée = 3, Pas de vidéosurveillance=0</t>
  </si>
  <si>
    <t>Ouvertures extérieures des cages d’escalier
(fenêtres ou grilles vers l’extérieur ou vers le parking  =2, Pas d’ouverture =0)</t>
  </si>
  <si>
    <t>Sous surveillance par du personnel (sur site ou à distance)
•  Oui = 5, No = 0</t>
  </si>
  <si>
    <t>Entrées voitures: Oui =1, Non =0</t>
  </si>
  <si>
    <t>Sorties voitures: Oui =1, Non =0</t>
  </si>
  <si>
    <t>Bornes de paiement: Oui =1, Non =0</t>
  </si>
  <si>
    <t>Hall d’ascenseurs, tous les étages: Oui =1, Non =0</t>
  </si>
  <si>
    <t>Cages d’escalier, chaque niveau: Oui =1, Non =0</t>
  </si>
  <si>
    <t>Entrées piétons: Oui =1, Non =0</t>
  </si>
  <si>
    <t>La plupart des aires de stationnement (65%):Oui =3, Non =0</t>
  </si>
  <si>
    <t>Rampes: Oui = 1, Non = 0</t>
  </si>
  <si>
    <t>Personnel joignable via:</t>
  </si>
  <si>
    <t>Interphonie aux bornes de paiement et/ou aux entrées contrôlées (24h/24 7j/7=3, Durant les heures d’ouverture si pas 24h/24= 2, Partiellement ou absent = 0)</t>
  </si>
  <si>
    <t>Système d’appel d’urgence dans les aires de stationnements (24h/24 7j/7=3, Durant les heures d’ouverture si pas 24h/24= 2, Partiellement ou absent = 0)</t>
  </si>
  <si>
    <t>Personnel présent, reconnaissable et patrouillant dans le parking
(24h/24 7j/7 = 3, Durant toutes les heures d’ouverture = 2, Partiellement durant les heures d’ouverture  = 1, Indisponible = 0)</t>
  </si>
  <si>
    <t>Fermeture des entrées/sorties véhicules: 
(Portails ou volets fermés après heures d’ouverture = 2, Mécanisme de fermeture sécurisé rapide durant heures d’ouverture= 4, Mécanisme de fermeture sécurisé lent durant heures d’ouverture = 2, Pas de mécanisme = 0)</t>
  </si>
  <si>
    <t>Fermeture des entrées/sorties piétons (après les heures d'ouverture).
(Porte/portail/volet avec &lt;= 15cm d’espace maximum entre barreaux = 2, au-delà de 15 cm = 0, Aucune disposition = 0, Pas d’application (ouverture 24h/24) = 2)</t>
  </si>
  <si>
    <t>Grilles vers ouvertures extérieures &amp; grilles de sécurité
(&lt;= 15 cm d’espace= 2, &gt; 15 cm ou pas de  protection= 0, Pas d’application (pas d’ouvertures extérieures) = 2)</t>
  </si>
  <si>
    <t>Trouver son chemin dans et à l’extérieur du parking</t>
  </si>
  <si>
    <t>Identification des places libres</t>
  </si>
  <si>
    <t>Par étage (oui/bon = 2, non/mauvais= 0)</t>
  </si>
  <si>
    <t>Par rangée (Oui/bon = 1, non/mauvais = 0)</t>
  </si>
  <si>
    <t>Par place individuelle (oui/bon= 2, non/mauvais = 0)</t>
  </si>
  <si>
    <t>Trouver son chemin au volant de son véhicule</t>
  </si>
  <si>
    <t>Les étages sont-ils clairement et séparément identifiables pour le conducteur? (Bon =3, Adéquat =2, Faible =1, Non =0)</t>
  </si>
  <si>
    <t>Les sous sections par étages sont-elles clairement identifiables pour le conducteur? (Bon=3, Adéquat =2, Faible=1, Non =0)</t>
  </si>
  <si>
    <t>Y a-t-il une identification ou un marquage spécifique sur le sol pour aider les piétons à trouver leur chemin ?
(Bon=2, Par-çi par-là=1, absent= 0)</t>
  </si>
  <si>
    <t>Les aires de stationnement sont-elles numérotées individuellement 
(Numérotation reprenant une indication d’étage=2, Juste une numérotation=1, absent =0)</t>
  </si>
  <si>
    <t>Utilisation de couleurs pour trouver son chemin
(Oui= 1, Non= 0)</t>
  </si>
  <si>
    <t>Signalisation en rue à l’attention des conducteurs pour trouver le chemin vers le parking</t>
  </si>
  <si>
    <t>Uniquement signalisation statique (Oui= 1, Non = 0)</t>
  </si>
  <si>
    <t>Additionnellement signalisation dynamique (Oui= 1, Non = 0)</t>
  </si>
  <si>
    <t>Signalisation lumineuse à l’entrée du parking</t>
  </si>
  <si>
    <t>Signalisation directionnelle fléchée (flèche verte, croix rouge) (Oui = 1, Non = 0)</t>
  </si>
  <si>
    <t>Signalisation Libre/Complet (Oui = 1, Non = 0)</t>
  </si>
  <si>
    <t>Signalisation vers les entrées piétons (Oui = 1, Non = 0)</t>
  </si>
  <si>
    <t>Confort et Divers</t>
  </si>
  <si>
    <t>Panneau d’affichage aux entrées/sorties piétons indiquant:</t>
  </si>
  <si>
    <t>Heures d’ouverture normales/spécifiques (oui = 1, non = 0)</t>
  </si>
  <si>
    <t>Affichage du tarif lisible et compréhensible (Oui = 1, non = 0)</t>
  </si>
  <si>
    <t>Règlement intérieur et conditions  (Oui = 1, non = 0)</t>
  </si>
  <si>
    <t>Moyens de paiement (paiement à la sortie/paiement à la caisse automatique):</t>
  </si>
  <si>
    <t>Monnaie? (oui =1, non =0)</t>
  </si>
  <si>
    <t>Change rendu? (oui =1, non =0)</t>
  </si>
  <si>
    <t>Billets de banque?  (oui=1, non =0)</t>
  </si>
  <si>
    <t>Cartes de crédit?  (oui =1, non =0)</t>
  </si>
  <si>
    <t>Par téléphone portable? (oui =1, non =0)</t>
  </si>
  <si>
    <t>Par carte/gsm à la sortie? (oui =1, non =0)</t>
  </si>
  <si>
    <t>Identification et paiement sur base plaque immatriculation? (oui =1, non =0)</t>
  </si>
  <si>
    <t>Acceptation d’autres cartes: Combien? (1 point par moyen supplémentaire jusqu’à 3 pts.)</t>
  </si>
  <si>
    <t>Au guichet du préposé: (oui = 1, non = 0)</t>
  </si>
  <si>
    <t>Betaling aan bemande kassa: 
• Ja = 1, Nee = 0</t>
  </si>
  <si>
    <t>Est-ce un parking sans barrières ( paiement à une borne) ?</t>
  </si>
  <si>
    <t>Toilettes publiques:</t>
  </si>
  <si>
    <t>Y en a-t-il? (oui= 2, non= 0)</t>
  </si>
  <si>
    <t>Toilettes spécifiques pour handicapés? (oui=1, non= 0)</t>
  </si>
  <si>
    <t>Toilettes uniques= 0, Hommes/femmes séparés= 1</t>
  </si>
  <si>
    <t>Présence d’un préposé aux toilettes: oui=1, non= 0</t>
  </si>
  <si>
    <t>Usage de couleurs/ embellissements</t>
  </si>
  <si>
    <t>Piliers en couleurs =1, non/béton brut = 0</t>
  </si>
  <si>
    <t>Murs en couleurs =1, non/béton brut = 0</t>
  </si>
  <si>
    <t>Embellissement supplémentaire</t>
  </si>
  <si>
    <t>Oeuvre d’art: (Oui = 2, Non = 0)</t>
  </si>
  <si>
    <t>Plantes: (Oui = 1, Non = 0)</t>
  </si>
  <si>
    <t>Autres: (Oui = 1, Non = 0)</t>
  </si>
  <si>
    <t>Couverture telephones portables (Oui = 2, Non = 0)</t>
  </si>
  <si>
    <t>Couverture signal radio (Oui = 1, Non = 0</t>
  </si>
  <si>
    <t>Musique</t>
  </si>
  <si>
    <t>Musique en arrière-fond: Oui = 2, Non = 0</t>
  </si>
  <si>
    <t>Action pour faciliter l’orientation dans parking : Oui =1, Non = 0</t>
  </si>
  <si>
    <t>Energie et Environnement</t>
  </si>
  <si>
    <t>Système d’économie d’éclairage</t>
  </si>
  <si>
    <t>Système pour gérer les pics de consommation (Oui=1, Non=0)</t>
  </si>
  <si>
    <t>Détection de mouvement, variation de la luminosité  (oui= 2, non= 0)</t>
  </si>
  <si>
    <t xml:space="preserve">Luminosité variable en fonction de la lumière du jour à l’entrée du parking. 
(oui= 2, non= 0)
</t>
  </si>
  <si>
    <t xml:space="preserve">Luminosité variable dans les étages en fonction de la luminosité extérieure 
(oui= 2, non= 0, Pas d’application (parking sous-terrain) =2)
</t>
  </si>
  <si>
    <t>Panneaux solaires sur le toit ou autre initiative d’énergie verte (oui= 2, non= 0)</t>
  </si>
  <si>
    <t>Traitement eaux usées ( séparation hydrocarbures/ eaux sales):
•  oui= 2, non= 0</t>
  </si>
  <si>
    <t>Séparation eaux potables/eaux de nettoyage, récupération eaux de pluie 
•  oui= 2, non= 0</t>
  </si>
  <si>
    <t>Bornes de rechargement pour véhicules électriques: (Oui, plusieurs bornes= 2, Une borne de rechargement=1, Absent=0)</t>
  </si>
  <si>
    <t>Autres initiatives environnementales ou d’émissions 0 CO
•  oui= 2, non= 0</t>
  </si>
  <si>
    <t>Points malus</t>
  </si>
  <si>
    <t>Présence de Graffitis</t>
  </si>
  <si>
    <t>Cages d’escaliers (Oui= -2, Non= 0)</t>
  </si>
  <si>
    <t>Ascenseurs (Oui= -2, Non= 0)</t>
  </si>
  <si>
    <t>Toilettes (Oui= -2, No= 0)</t>
  </si>
  <si>
    <t>Parking (Oui= -2, Non= 0)</t>
  </si>
  <si>
    <t>Murs extérieurs (Oui= -2, Non= 0)</t>
  </si>
  <si>
    <t>Présence de déchets</t>
  </si>
  <si>
    <t>Toilettes (Oui= -2, Non= 0)</t>
  </si>
  <si>
    <t>Parking  (Oui= -2, Non= 0)</t>
  </si>
  <si>
    <t>A l’extérieur des entrées piétons et voitures (Oui= -2, Non= 0)</t>
  </si>
  <si>
    <t>Faible qualité de la peinture</t>
  </si>
  <si>
    <t>Cages d’escaliers (Oui= 2, Non= 0)</t>
  </si>
  <si>
    <t>Faible qualité des marquages au sol (Oui= 2, Non= 0)</t>
  </si>
  <si>
    <t>Faible qualité/manquements au niveau de la maintenance (nids de poule ,dégâts divers,..)</t>
  </si>
  <si>
    <t>Sol (Oui= -2, Non= 0)</t>
  </si>
  <si>
    <t>Murs (Oui= -2, Non= 0)</t>
  </si>
  <si>
    <t>Traces évidentes d’eau stagnante(Oui= -2, Non= 0)</t>
  </si>
  <si>
    <t>Odeurs désagréables</t>
  </si>
  <si>
    <t>Sol du parking (Oui= -2, Non= 0)</t>
  </si>
  <si>
    <t>Plus de 15% des emplacements en cul-de sac sans indication d’occupation. (Oui= 5, Non=0)</t>
  </si>
  <si>
    <t>Autres points de critiques (à expliquer!)
[Par ex. Bruit assourdissant, bruit de pneus sur le sol (epoxy), présence d’individus non désirés, etc.] jusqu’à -10</t>
  </si>
  <si>
    <t>Points bonus</t>
  </si>
  <si>
    <t>Dispositions supplémentaires dans le parking</t>
  </si>
  <si>
    <t>Espace spécifique pour motos (Oui= 1, Non= 0)</t>
  </si>
  <si>
    <t>Consignes sécurisées pour clients (Oui= 1, Non= 0)</t>
  </si>
  <si>
    <t>Autres aides(Oui= 1, Non= 0)</t>
  </si>
  <si>
    <t>Location de vélos (Oui= 1, Non= 0)</t>
  </si>
  <si>
    <t>Autres assistances aux conducteurs (Oui= 1, Non= 0)</t>
  </si>
  <si>
    <t>Distributeurs boissons, friandises (Oui= 1, Non= 0)</t>
  </si>
  <si>
    <t>Défibrilateur (Oui= 1, Non= 0)</t>
  </si>
  <si>
    <t>Personnel formé aux premiers secours (Oui= 1, Non= 0)</t>
  </si>
  <si>
    <t>Données traffic en temps réel (Yes= 1, Non= 0)</t>
  </si>
  <si>
    <t>Autres informations actualisées  (par ex. Évènements locaux) (Oui= 1, Non= 0)</t>
  </si>
  <si>
    <t>Mesures pour fluidifier le traffic en heure de pointe (par ex. usage d’une voie bidirectionnelle alternative en entrée/sortie) - (Oui= 3, Non= 0)</t>
  </si>
  <si>
    <t>Possibilité de faire demi-tour avant la barrière d’hauteur ou l’indication “complet” sans devoir faire marche arrière (Oui= 3, Non= 0)</t>
  </si>
  <si>
    <t>Guichet service clientèle (Oui= 1, Non= 0)</t>
  </si>
  <si>
    <t>Autres points positifs par ex. services extras, personnel particulièrement accueillant,bonne intégration du parking dans le tissu urbain, etc..jusqu’à 10 points supplémentaires (à expliquer !)</t>
  </si>
  <si>
    <t>Escalators  et/ou tapis roulants 
(Depuis/jusqu’à tous les étages =5, De/jusqu’à certains étages =3, Pas d’ escalators ou Tapis roulants = 0)</t>
  </si>
  <si>
    <t>Localisation du véhicule garé via numéro ticket ou plaque d’immatriculation 
(Oui= 1, Non= 0)</t>
  </si>
  <si>
    <t>Matin</t>
  </si>
  <si>
    <t>Après-midi</t>
  </si>
  <si>
    <t>Soir</t>
  </si>
  <si>
    <t>Ensoleillé</t>
  </si>
  <si>
    <t>Nuageux</t>
  </si>
  <si>
    <t>Pluvieux</t>
  </si>
  <si>
    <t>Crépuscule</t>
  </si>
  <si>
    <t>Nuit</t>
  </si>
  <si>
    <t>&gt; 75%</t>
  </si>
  <si>
    <t>50% - 75%</t>
  </si>
  <si>
    <t>Environ 50%</t>
  </si>
  <si>
    <t>25% - 50%</t>
  </si>
  <si>
    <t>Accepté</t>
  </si>
  <si>
    <t>Refusé</t>
  </si>
  <si>
    <t>Oui</t>
  </si>
  <si>
    <t>Non</t>
  </si>
  <si>
    <t>Sans rapport</t>
  </si>
  <si>
    <t>Signalisation claire</t>
  </si>
  <si>
    <t>Signalisation incomplète</t>
  </si>
  <si>
    <t>Pas de signalisation</t>
  </si>
  <si>
    <t>0% - 2 %</t>
  </si>
  <si>
    <t>2% - 5 %</t>
  </si>
  <si>
    <t>Supérieur à 5%</t>
  </si>
  <si>
    <t>Pas de protection</t>
  </si>
  <si>
    <t>Pas de courbes dans la zone entrée/sortie</t>
  </si>
  <si>
    <t>Anti-dérapant</t>
  </si>
  <si>
    <t>Glissant si mouillé</t>
  </si>
  <si>
    <t>Pilier n’envahissant pas la surface de stationnement</t>
  </si>
  <si>
    <t>Pilier en début d’aire de stationnement</t>
  </si>
  <si>
    <t>Pilier à hauteur des portières de véhicule</t>
  </si>
  <si>
    <t>Pilier en fond de l’aire de stationnement mais mais déborde sur celle-ci</t>
  </si>
  <si>
    <t>Bon</t>
  </si>
  <si>
    <t>Moyen</t>
  </si>
  <si>
    <t>Mauvais</t>
  </si>
  <si>
    <t>2.25 m - 2.30 m</t>
  </si>
  <si>
    <t>2.30 m - 2.35 m</t>
  </si>
  <si>
    <t>2.35 m - 2.40 m</t>
  </si>
  <si>
    <t>2.40 m - 2.45 m</t>
  </si>
  <si>
    <t>2.45 m - 2.50 m</t>
  </si>
  <si>
    <t>Supérieur à 2.50m</t>
  </si>
  <si>
    <t>Conforme au tableau</t>
  </si>
  <si>
    <t>Jusqu’à 30cm de moins</t>
  </si>
  <si>
    <t>Jusqu’à 60cm de moins</t>
  </si>
  <si>
    <t>Plus de 60cm de moins</t>
  </si>
  <si>
    <t>Lisse</t>
  </si>
  <si>
    <t>Pas de rampe</t>
  </si>
  <si>
    <t>Oui ( ouverture automatique ou connexion ouverte)</t>
  </si>
  <si>
    <t>Ouverture aisée</t>
  </si>
  <si>
    <t>Chaque sortie piétons</t>
  </si>
  <si>
    <t>Un seul endroit</t>
  </si>
  <si>
    <t>Absent</t>
  </si>
  <si>
    <t>Un ascenseur</t>
  </si>
  <si>
    <t>Deux ascenseurs ou plus</t>
  </si>
  <si>
    <t>Plus e 8 personnes</t>
  </si>
  <si>
    <t>Entre 4 et 8 personnes</t>
  </si>
  <si>
    <t>Moins de 4 personnes</t>
  </si>
  <si>
    <t>Pas de visibilité depuis l’ascenseur</t>
  </si>
  <si>
    <t>Portes/murs vitré(e)s</t>
  </si>
  <si>
    <t>Pas d’ascenseur</t>
  </si>
  <si>
    <t>Pas de vitres</t>
  </si>
  <si>
    <t>Pas de main courante</t>
  </si>
  <si>
    <t>D’un seul côté</t>
  </si>
  <si>
    <t>Des deux côtés</t>
  </si>
  <si>
    <t>Fenêtres/Grilles</t>
  </si>
  <si>
    <t>Aucun</t>
  </si>
  <si>
    <t>24h/24 - 7j/7</t>
  </si>
  <si>
    <t>Durant les heures d’ouverture si pas 24/24 – 7/7</t>
  </si>
  <si>
    <t>Partiellement / Non disponible</t>
  </si>
  <si>
    <t>Durant les heures d’ouverture</t>
  </si>
  <si>
    <t>Moins que les heures d’ouverture</t>
  </si>
  <si>
    <t>Portails ou volets fermés en dehors des heures d’ouverture</t>
  </si>
  <si>
    <t>Sécurisé: portail à ouverture rapide en journée</t>
  </si>
  <si>
    <t>Sécurisé: portail à ouverture lente en journée</t>
  </si>
  <si>
    <t>Pas de dispositif particulier</t>
  </si>
  <si>
    <t>Espace maximum entre barreaux portails/volets : =&gt; 15cm</t>
  </si>
  <si>
    <t>Espace maximum entre barreaux portails/volets :  &lt; 15cm</t>
  </si>
  <si>
    <t>Pas de barreaux</t>
  </si>
  <si>
    <t>Sans rapport (ouverture 24h/24)</t>
  </si>
  <si>
    <t>&gt;15 cm ou absence de protection</t>
  </si>
  <si>
    <t>Sans rapport (pas d’ouvertures extérieures)</t>
  </si>
  <si>
    <t>Oui/Bon</t>
  </si>
  <si>
    <t>Non/Mauvais</t>
  </si>
  <si>
    <t>Adéquat</t>
  </si>
  <si>
    <t>Faible</t>
  </si>
  <si>
    <t>Clairement depuis tous les endroits</t>
  </si>
  <si>
    <t>Clairement depuis la plupart des endroits</t>
  </si>
  <si>
    <t>Clairement depuis certains endroits</t>
  </si>
  <si>
    <t>Pas de signalétique vers sorties de secours</t>
  </si>
  <si>
    <t>Parc de stationnement à un seul niveau</t>
  </si>
  <si>
    <t xml:space="preserve">Quelques </t>
  </si>
  <si>
    <t>Numérotation incluant  identification de l’étage</t>
  </si>
  <si>
    <t>Juste numérotation</t>
  </si>
  <si>
    <t>Une seule borne d’encaissement</t>
  </si>
  <si>
    <t>Plus qu’une borne d’encaissement</t>
  </si>
  <si>
    <t>Une à chaque entrée piétons,excepté sortie secours</t>
  </si>
  <si>
    <t>Plus d’une borne à chaque entrée piétons</t>
  </si>
  <si>
    <t>Une</t>
  </si>
  <si>
    <t>&lt; 1 par tranche de 50 places</t>
  </si>
  <si>
    <t>&gt; 1 par tranche de 50 places</t>
  </si>
  <si>
    <t>Unique</t>
  </si>
  <si>
    <t>Hommes/Femmes séparés</t>
  </si>
  <si>
    <t>Piliers peints</t>
  </si>
  <si>
    <t>Non peints / béton brut</t>
  </si>
  <si>
    <t>Murs peints</t>
  </si>
  <si>
    <t>Plusieurs bornes de charge</t>
  </si>
  <si>
    <t>Une seule borne de charge</t>
  </si>
  <si>
    <t>Vers/depuis tous les étages</t>
  </si>
  <si>
    <t>De/vers certains étages</t>
  </si>
  <si>
    <t>Pas d’escalators ou tapis roulants</t>
  </si>
  <si>
    <t>&lt;10%</t>
  </si>
  <si>
    <t>10-15%</t>
  </si>
  <si>
    <t>Pas de rampes</t>
  </si>
  <si>
    <t>&gt; 10m</t>
  </si>
  <si>
    <t>&lt; 7.5m</t>
  </si>
  <si>
    <t>&gt; 9m</t>
  </si>
  <si>
    <t>&lt; 5%</t>
  </si>
  <si>
    <t>5% – 7%</t>
  </si>
  <si>
    <t>&gt; 7%</t>
  </si>
  <si>
    <t>Pas d’inclinaison</t>
  </si>
  <si>
    <t>Complet</t>
  </si>
  <si>
    <t>Incomplet</t>
  </si>
  <si>
    <t>Conforme</t>
  </si>
  <si>
    <t>Commentaires</t>
  </si>
  <si>
    <t>Nombre de OK</t>
  </si>
  <si>
    <t>Nombre de NOK</t>
  </si>
  <si>
    <t>Non évalué</t>
  </si>
  <si>
    <t>Nombre de sections</t>
  </si>
  <si>
    <t>Nombre de sections et sous-sections</t>
  </si>
  <si>
    <t>Nombre de sections complètes</t>
  </si>
  <si>
    <t>Nombre de sections non évaluées</t>
  </si>
  <si>
    <t>Score maximum</t>
  </si>
  <si>
    <t>Pourcentage</t>
  </si>
  <si>
    <t>Pondération de la section</t>
  </si>
  <si>
    <t>Evaluation globale</t>
  </si>
  <si>
    <t>Catégorie</t>
  </si>
  <si>
    <t>A compléter</t>
  </si>
  <si>
    <t>% obtenu</t>
  </si>
  <si>
    <t xml:space="preserve">Pondération </t>
  </si>
  <si>
    <t>Résultats</t>
  </si>
  <si>
    <t>Statut</t>
  </si>
  <si>
    <t>% nombre réponse requise</t>
  </si>
  <si>
    <t>Sous-total</t>
  </si>
  <si>
    <t>Total</t>
  </si>
  <si>
    <t>Condition minimum pour obtention ESPA</t>
  </si>
  <si>
    <t>Sections résultat minimum atteints</t>
  </si>
  <si>
    <t>Label ESPA</t>
  </si>
  <si>
    <t>Liste des sections</t>
  </si>
  <si>
    <t>Résultats mesurés</t>
  </si>
  <si>
    <t>Contribution maximale résultat final</t>
  </si>
  <si>
    <t>Contribution résultat final</t>
  </si>
  <si>
    <t>Remarques</t>
  </si>
  <si>
    <t>espa2014</t>
  </si>
  <si>
    <t>pw</t>
  </si>
  <si>
    <t>Trappenhuizen en andere voetgangersruimten; op vloerhoogte
• &gt; 90 Lux = 3; 
• 30-90  Lux = 0,05punt per Lux boven 30;
• &lt; 30 Lux = 0;</t>
  </si>
  <si>
    <t>Verkeersborden voor beperkingen in de garage. 
• Duidelijk en compleet conform RVV = 3 
• Gedeeltelijk complete bebording = 2 
• Geen bebording = 0</t>
  </si>
  <si>
    <t>Readibility of tariff system:</t>
  </si>
  <si>
    <t>Information on:</t>
  </si>
  <si>
    <t>Height barrier</t>
  </si>
  <si>
    <t>Correct sign at entrance</t>
  </si>
  <si>
    <t>Car park headroom limit identified at entrance</t>
  </si>
  <si>
    <t>Ruw oppervlak op in- en uitrit helling
Ruw = 1, Glad = 0, geen helling = 1</t>
  </si>
  <si>
    <t>Signage for car driver:</t>
  </si>
  <si>
    <t>Do traffic signs conform to national road code?</t>
  </si>
  <si>
    <t>Complete ?</t>
  </si>
  <si>
    <t>Unambiguous ?</t>
  </si>
  <si>
    <t>Parking bay marks</t>
  </si>
  <si>
    <t>Guidance to disabled spaces ?</t>
  </si>
  <si>
    <t>Parkeerhoek bij 85 % van de vakken:
 76-90° = 0,   45-75° = 2</t>
  </si>
  <si>
    <t>Hellingbanen tussen parkeervloeren
• Ruw = 1, Glad = 0, N.v.t. = 1</t>
  </si>
  <si>
    <t>Hellingbanen tussen parkeervloeren (waarop niet wordt geparkeerd)
• &lt;10% =3, 10 -15% =1, &gt; 15% =0, geen = 3</t>
  </si>
  <si>
    <t xml:space="preserve">Ramp width (between kerbs) all ramps measured at narrowest point </t>
  </si>
  <si>
    <t>Straal buitenkant van gebogen hellingbanen:
• &lt; 9m =0,  9 – 10 m =1, &gt; 10m  = 2, 
Bij hellingbanen voor twee richtingen geldt deze maat voor de binnenste rijstrook.</t>
  </si>
  <si>
    <t>Stairs (incl. heightened visibility of steps)</t>
  </si>
  <si>
    <t>Identification of vacant parking spaces</t>
  </si>
  <si>
    <t>Notice-board at pedestrian entrance/exit showing:</t>
  </si>
  <si>
    <t>Nombre de bornes de paiement pour un parking équipés de barrières:
(Une borne de paiement = 0,  Plus que une =1, Une à chaque entrée piétons excepté les portes de secours=2, Une à chaque entrée piétons =3)</t>
  </si>
  <si>
    <t>Nombre de bornes de paiement pour un parking sans barrières
(Une =0, &lt; 1 par 50 emplacements =2, &gt;1 par 50 emplacements=3)</t>
  </si>
  <si>
    <t>Movement detection variable lights, remaining quality (yes= 2, no= 0)</t>
  </si>
  <si>
    <t>Adaptable lighting for daylight compensation at entrance area 
(yes= 2, no= 0)</t>
  </si>
  <si>
    <t>Voitures partagées ou autres initiatives semblables
•  oui= 2, non= 0</t>
  </si>
  <si>
    <t>Geleiding naar de invalidenplaatsen?</t>
  </si>
  <si>
    <t>Notes</t>
  </si>
  <si>
    <t>Reacties</t>
  </si>
  <si>
    <t>Active Language</t>
  </si>
  <si>
    <t>Language Selected:</t>
  </si>
  <si>
    <t>Language Selected</t>
  </si>
  <si>
    <t>Please enter your password to umprotect ESPA Worksheet:</t>
  </si>
  <si>
    <t>Password Input</t>
  </si>
  <si>
    <t>You have entered an incorrect password. ESPA Worksheets could not be umprotected.</t>
  </si>
  <si>
    <t>Incorrect Password</t>
  </si>
  <si>
    <t>This will erase all data in ESPA Worksheet. Are you sure?</t>
  </si>
  <si>
    <t>This will print 13 pages on your active printer. Are you sure?</t>
  </si>
  <si>
    <t>Alert</t>
  </si>
  <si>
    <t>Deutsch</t>
  </si>
  <si>
    <t>Morgen</t>
  </si>
  <si>
    <t>Nachmittag</t>
  </si>
  <si>
    <t>Abend</t>
  </si>
  <si>
    <t>sonnig</t>
  </si>
  <si>
    <t>bewölkt</t>
  </si>
  <si>
    <t>Regen</t>
  </si>
  <si>
    <t>Dämmerung</t>
  </si>
  <si>
    <t>Nacht</t>
  </si>
  <si>
    <t>etwa 50%</t>
  </si>
  <si>
    <t xml:space="preserve"> 25% - 50%</t>
  </si>
  <si>
    <t>Mangel</t>
  </si>
  <si>
    <t>Nein</t>
  </si>
  <si>
    <t>unzutreffend</t>
  </si>
  <si>
    <t>verständliche Beschilderung</t>
  </si>
  <si>
    <t>unvollständige Beschilderung</t>
  </si>
  <si>
    <t>keine Beschilderung</t>
  </si>
  <si>
    <t>über 5%</t>
  </si>
  <si>
    <t>kein Schutz</t>
  </si>
  <si>
    <t>Keine Schrammborde im Ein-/Ausfahrtsbereich</t>
  </si>
  <si>
    <t>rutschhemmend</t>
  </si>
  <si>
    <t>rutschig wenn naß</t>
  </si>
  <si>
    <t>Stütze beeinträchtigt den Stellplatz nicht</t>
  </si>
  <si>
    <t>Stütze am Beginn des Stellplatzes</t>
  </si>
  <si>
    <t>Stütze nahe der Fahrzeugtür</t>
  </si>
  <si>
    <t>Stütze am Stellplatzende aber beeinträchtigt den Stellplatz</t>
  </si>
  <si>
    <t>Gut</t>
  </si>
  <si>
    <t>Mittel</t>
  </si>
  <si>
    <t>Schlecht</t>
  </si>
  <si>
    <t>Winkel 76°-90°</t>
  </si>
  <si>
    <t>Winkel 45°-75°</t>
  </si>
  <si>
    <t xml:space="preserve"> über 2.50 m</t>
  </si>
  <si>
    <t>bis zu 30 cm weniger</t>
  </si>
  <si>
    <t>bis zu 60 cm weniger</t>
  </si>
  <si>
    <t>über 60 cm weniger</t>
  </si>
  <si>
    <t>weich</t>
  </si>
  <si>
    <t>Keine Rampen</t>
  </si>
  <si>
    <t>Ja (automatisch oder offene Verbindung)</t>
  </si>
  <si>
    <t>Leicht zu öffnen</t>
  </si>
  <si>
    <t>Jeder Fußgängerausgang</t>
  </si>
  <si>
    <t>Eine Position</t>
  </si>
  <si>
    <t>Ein Aufzug</t>
  </si>
  <si>
    <t>Zwei oder mehr Aufzüge</t>
  </si>
  <si>
    <t>Mehr als 8 Personen</t>
  </si>
  <si>
    <t>4 bis 8 Personen</t>
  </si>
  <si>
    <t>Weniger als 4</t>
  </si>
  <si>
    <t>Keine Sicht aus dem Aufzug</t>
  </si>
  <si>
    <t>Verglaste Türen/Wände</t>
  </si>
  <si>
    <t>Kein Aufzug</t>
  </si>
  <si>
    <t>Kein Glas</t>
  </si>
  <si>
    <t>Kein Handlauf</t>
  </si>
  <si>
    <t>Eine Seite</t>
  </si>
  <si>
    <t>Zwei Seiten</t>
  </si>
  <si>
    <t>Fenster/vergittert</t>
  </si>
  <si>
    <t>Nichts</t>
  </si>
  <si>
    <t>Gesamte Öffnungszeit wenn nicht 24*7</t>
  </si>
  <si>
    <t>Teilweise/nicht verfügbar</t>
  </si>
  <si>
    <t>Während der Öffnungszeiten</t>
  </si>
  <si>
    <t>Weniger als die Öffnungszeiten</t>
  </si>
  <si>
    <t>Geschlossenes Tor/Rollgitter außerhalb der Öffnungszeit</t>
  </si>
  <si>
    <t>Gesichert: Schnelllauftor tagsüber</t>
  </si>
  <si>
    <t>Gesichert: langsam öffnendes Tor tagsüber</t>
  </si>
  <si>
    <t>Keine Sicherung</t>
  </si>
  <si>
    <t>Größte Öffnung in Tür/Tor/Rollgitter &lt;= 15cm</t>
  </si>
  <si>
    <t>Größte Öffnung in Tür/Tor/Rollgitter &gt; 15cm</t>
  </si>
  <si>
    <t>Keine Öffnung</t>
  </si>
  <si>
    <t>Unzutreffend (24 Stunden geöffnet)</t>
  </si>
  <si>
    <t>&gt;15 cm oder keine Sicherung</t>
  </si>
  <si>
    <t>Unzutreffend (keine Öffnungen nach außen)</t>
  </si>
  <si>
    <t>Ja/gut</t>
  </si>
  <si>
    <t>Nein/schlecht</t>
  </si>
  <si>
    <t>Befriedigend</t>
  </si>
  <si>
    <t>Deutlich von allen Standorten</t>
  </si>
  <si>
    <t>Deutlich von den meisten Standorten</t>
  </si>
  <si>
    <t>Deutlich von wenigen Standorten</t>
  </si>
  <si>
    <t>Keine Kennzeichnung von Fluchtwegen</t>
  </si>
  <si>
    <t>Keine</t>
  </si>
  <si>
    <t>1-geschossiges Parkhaus</t>
  </si>
  <si>
    <t>Einige</t>
  </si>
  <si>
    <t>Nummeriert einschießlich Geschoßidentifizierung</t>
  </si>
  <si>
    <t>Nur nummeriert</t>
  </si>
  <si>
    <t>Ein Bezahlstation</t>
  </si>
  <si>
    <t>Mehr als eine</t>
  </si>
  <si>
    <t>Eine an jedem Fußgängerzugang (außer reine Fluchtwege)</t>
  </si>
  <si>
    <t>Eine an jedem Fußgängerzugang</t>
  </si>
  <si>
    <t>Eine</t>
  </si>
  <si>
    <t>&lt; 1 pro 50 Stellplätze</t>
  </si>
  <si>
    <t>&gt; 1 pro 50 Stellplätze</t>
  </si>
  <si>
    <t>unisex</t>
  </si>
  <si>
    <t>Männer/Frauen getrennt</t>
  </si>
  <si>
    <t>Farbige Stützen</t>
  </si>
  <si>
    <t>Nein/Betongrau</t>
  </si>
  <si>
    <t>Farbige Wände</t>
  </si>
  <si>
    <t>Mehr als eine Aufladestation</t>
  </si>
  <si>
    <t>eine Aufladestation</t>
  </si>
  <si>
    <t>keine</t>
  </si>
  <si>
    <t>Zu/von allen Geschossen</t>
  </si>
  <si>
    <t>Zu/von einigen Geschossen</t>
  </si>
  <si>
    <t>Keine Rolltreppen oder Rollsteige</t>
  </si>
  <si>
    <t>Kein Gefälle</t>
  </si>
  <si>
    <t>Mindestbedingungen</t>
  </si>
  <si>
    <t>Das Parkhaus muss öffentlich sein</t>
  </si>
  <si>
    <t>Mindestdurchfahrtshöhe = 1.90 m im allgemein zugänglichen Bereich. Einzelne niedrigere Hindernisse müssen deutlich gekennzeichnet sein.</t>
  </si>
  <si>
    <t>Es müssen getrennte Ein- und Ausfahrtsspuren vorhanden sein. Tageszeitlich in wechselnder Fahrtrichtung genutzte Wechselspuren sind zulässig.</t>
  </si>
  <si>
    <t>Das Gefälle von Rampen darf 20 % nicht überschreiten. Es wird in der Fahrbahnachse gemessen. Bei mehrspurigen Rampen gilt dies jeweils für die innere (steilere) Spur.</t>
  </si>
  <si>
    <t xml:space="preserve">Bei bewirtschafteten Parkhäusern mit Zugangskontrolle durch Schranken oder Tore muss das Personal an allen Bezahlstationen, Ausfahrten sowie gesicherten Fußgängerzugängen z.B. kontaktierbar sein. </t>
  </si>
  <si>
    <t>Ein Zahlungsnachweis muss auf Verlangen herausgegeben werden.</t>
  </si>
  <si>
    <t>Alle Kurvenfahrten müssen ohne Zurückstoßen möglich sein (Parkierungsvorgänge und Sackgassen sind hiervon ausgenommen).</t>
  </si>
  <si>
    <t>Beleuchtung</t>
  </si>
  <si>
    <t>Positionsliste (Werte in Lux, bezüglich der Messungen siehe Benutzungsanleitung)</t>
  </si>
  <si>
    <t>Hilfsraster 2.8</t>
  </si>
  <si>
    <t>Ende des Parkplatzes unter/zwischen Beleuchtungspunkten</t>
  </si>
  <si>
    <t>Mitte des Parkplatzes unter/zwischen Beleuchtungspunkten</t>
  </si>
  <si>
    <t>Fahrbahnrand unter/zwischen Beleuchtungspunkten</t>
  </si>
  <si>
    <t>Fahrbahnmitte unter/zwischen Beleuchtungspunkten</t>
  </si>
  <si>
    <t>Anderer Fahrbahnrand unter/zwischen Beleuchtungspunkten</t>
  </si>
  <si>
    <t>Einfahrt / Ausfahrt</t>
  </si>
  <si>
    <t>An der Einfahrt angezeigte Durchfahrtshöhe</t>
  </si>
  <si>
    <t>Ordnungsgemäßes Zeichen an der Einfahrt</t>
  </si>
  <si>
    <t>Höhenbegrenzungsbalken</t>
  </si>
  <si>
    <t>Gummilippe am Höhenbegrenzungsbalken</t>
  </si>
  <si>
    <t>Information bezüglich:</t>
  </si>
  <si>
    <t>Einstellbedingungen des Betreibers innerhalb des Parkhauses</t>
  </si>
  <si>
    <t>Öffnungszeiten</t>
  </si>
  <si>
    <t>Parktarife</t>
  </si>
  <si>
    <t>Verständlichkeit der Parktarife</t>
  </si>
  <si>
    <t>Bauliche Ausbildung der Ein-/Ausfahrt</t>
  </si>
  <si>
    <t>Einfahrt: Ticketgeber gut zu erreichen</t>
  </si>
  <si>
    <t>Ausfahrt: Ausfahrtskontrollgerät gut zu erreichen</t>
  </si>
  <si>
    <t>Längsgefälle im Bereich der Ticketgeber und Ausfahrtskontrollgeräte</t>
  </si>
  <si>
    <t>Zugangskontrolle</t>
  </si>
  <si>
    <t>Schranke</t>
  </si>
  <si>
    <t>Sprechstelle</t>
  </si>
  <si>
    <t>Videoüberwachung</t>
  </si>
  <si>
    <t>Kennzeichenerkennung</t>
  </si>
  <si>
    <t>Schnelllauftore über die ganze Höhe</t>
  </si>
  <si>
    <t>Bemannte Einfahrt/Ausfahrt</t>
  </si>
  <si>
    <t>Ausfahrt: die Gefällestrecke endet mindestens 5 m vor dem kreuzenden Verkehr (Fußgänger/Radfahrer).</t>
  </si>
  <si>
    <t>Zwischensumme Einfahrt/Ausfahrt</t>
  </si>
  <si>
    <t>Parkebenen</t>
  </si>
  <si>
    <t>Beschilderung für den Fahrverkehr</t>
  </si>
  <si>
    <t>Sind die Verkehrszeichen konform mit den nationalen Vorschriften?</t>
  </si>
  <si>
    <t>Wegweisung: Ist die Beschilderung leicht sichtbar, vollständig und unmissverständlich?</t>
  </si>
  <si>
    <t>Vollständig?</t>
  </si>
  <si>
    <t>Leicht zu sehen?</t>
  </si>
  <si>
    <t>Unmissverständlich?</t>
  </si>
  <si>
    <t>Ausfahrtsbeschilderung: Ist die Beschilderung leicht sichtbar, vollständig und unmissverständlich?</t>
  </si>
  <si>
    <t>Stellplatzmarkierung</t>
  </si>
  <si>
    <t>Sind die Stellplätze deutlich markiert?</t>
  </si>
  <si>
    <t>Sind die Markierungen bis auf die Wand verlängert um das Einparken zu erleichtern?</t>
  </si>
  <si>
    <t>Sind die Fahrbahnmarkierungen:</t>
  </si>
  <si>
    <t>Wird die Verfügbarkeit von Stellplätzen für Rollstuhlfahrer an der Einfahrt angezeigt?</t>
  </si>
  <si>
    <t>Zugänglich für Rollstühle?</t>
  </si>
  <si>
    <t>Sind die Plätze mindestens 3.50 m breit?</t>
  </si>
  <si>
    <t>Sind sie Nahe am Ausgang?</t>
  </si>
  <si>
    <t>Gibt es eine Hinweisbeschilderung zu den Stellplätzen für Behinderte?</t>
  </si>
  <si>
    <t>Aufstellwinkel für 85% der Stellplätze (Winkel 76-90° = 0, Winkel  45-75° = 2)</t>
  </si>
  <si>
    <t>Fahrzeugrampen</t>
  </si>
  <si>
    <t>Handelt es sich um ein 1-geschossiges Parkhaus ohne Rampen oder geneigte Parkebenen?</t>
  </si>
  <si>
    <t>Oberflächenausbildung der Rampe zwischen den Parkebenen (rutschhemmend 1; glatt 0, keine Rampen 1)</t>
  </si>
  <si>
    <t>Rampenbreite (zwischen Schrammborden), gemessen am engsten Punkt der Rampen</t>
  </si>
  <si>
    <t>Gekrümmte Rampen müssen für dieselbe Punktzahl um 1m breiter sein? Sind die Rampen gekrümmt?</t>
  </si>
  <si>
    <t>Fußgängereingang</t>
  </si>
  <si>
    <t>Positionsliste</t>
  </si>
  <si>
    <t>Ausgewiesene Fußwege (z.B.: baulich erhöht, Zebrastreifen oder farbig) (ja = 2, nein = 0)</t>
  </si>
  <si>
    <t>Ist der Fußgängereingang auch während der Öffnungszeiten mit einem Kartenleser gesichert ? (Ja=2,Nein=0)</t>
  </si>
  <si>
    <t>Wegweisung:</t>
  </si>
  <si>
    <t>Zu wichtigen Zielen außerhalb des Parkhauses (Ja=1, Nein=0):</t>
  </si>
  <si>
    <t>In der Umgebung des Parkhauses zu den Eingängen (Ja=1, Nein=0):</t>
  </si>
  <si>
    <t>Handelt es sich um ein 1-geschossiges Parkhaus auf Erdgeschoßniveau (keine offener Parkplatz)?</t>
  </si>
  <si>
    <t>Fahren der/die Aufzüge das Erdgeschoß/Straßenniveau an?</t>
  </si>
  <si>
    <t>Anzeige der Etage</t>
  </si>
  <si>
    <t>Im Aufzug</t>
  </si>
  <si>
    <t>Im Aufzugvorraum</t>
  </si>
  <si>
    <t>Verbindungstüren zu den Parkebenen</t>
  </si>
  <si>
    <t>Lichte Breite (&lt;90 cm =0, &gt;=90 cm = 2)</t>
  </si>
  <si>
    <t>Fluchttüren, standardmässig offen (ja=2, nein= 0)</t>
  </si>
  <si>
    <t>Sichtbeziehung (verglaste Türen/Wände = 3, kein Glas = 0)</t>
  </si>
  <si>
    <t>Sind Aufzüge die wichtigste Geschoßverbindung? (Treppen nur zweitrangig oder zur Entfluchtung)</t>
  </si>
  <si>
    <t>Treppenhäuser (Übersichtlichkeit und Orientierung)</t>
  </si>
  <si>
    <t>Übersichtlich  (ja= 1, nein = 0, unzutreffend = 1)</t>
  </si>
  <si>
    <t>Geschoßkennzeichnung (ja = 1, nein = 0, unzutreffend = 1)</t>
  </si>
  <si>
    <t>Treppen (einschließlich verbesserte Sichtbarkeit von Stufen)</t>
  </si>
  <si>
    <t>Breite (&lt; 1.5 m = 0, &gt; 1.5m = 2)</t>
  </si>
  <si>
    <t>Handläufe (Kein Handlauf = 0, einseitig = 1, beidseitig = 2)</t>
  </si>
  <si>
    <t>Verbesserte Sichtbarkeit von Stufen für Personen mit eingeschränkter Sehstärke (ja = 2, nein = 0)</t>
  </si>
  <si>
    <t>Rutschfester Belag auf den Stufen (ja = 2, nein = 0)</t>
  </si>
  <si>
    <t>Sicherheitseinrichtungen</t>
  </si>
  <si>
    <t>Videoüberwachung mit Ankündigung am Eingang = 3, Keine Videoüberwachung = 0</t>
  </si>
  <si>
    <t>Videoüberwachung an besonderen Stellen</t>
  </si>
  <si>
    <t>Einfahrt: ja = 1, nein = 0</t>
  </si>
  <si>
    <t>Ausfahrt: ja = 1, nein = 0</t>
  </si>
  <si>
    <t>Kassenautomat: ja = 1, nein = 0</t>
  </si>
  <si>
    <t>Aufzugvorraum, in allen Geschossen: ja = 1, nein = 0</t>
  </si>
  <si>
    <t>Treppenhäuser, in allen Geschossen: ja = 1, nein = 0</t>
  </si>
  <si>
    <t>Fußgängereingang: ja = 1, nein = 0</t>
  </si>
  <si>
    <t>Überwiegender Teil der Parkebenen (65%): ja = 3, nein = 0</t>
  </si>
  <si>
    <t>Rampen: ja = 1, nein = 0</t>
  </si>
  <si>
    <t>Personal kontaktierbar durch:</t>
  </si>
  <si>
    <t>Sprechstellen an den Kassenautomaten und/oder an den kontrollierten Zugängen (24h/7=3, während der Öffnungszeiten wenn nicht 24h/24 = 2, zeitweise oder gar nicht = 0)</t>
  </si>
  <si>
    <t>Notrufmelder in den Parkebenen (24/7 = 3, während der Öffnungszeiten wenn nicht 24/7 = 2, zeitweise oder gar nicht = 0)</t>
  </si>
  <si>
    <t>Wegweisung innerhalb und außerhalb des Parkhauses</t>
  </si>
  <si>
    <t>Anzeige von freien Stellplätzen</t>
  </si>
  <si>
    <t>Etagenweise (ja/gut = 2, nein/schlecht= 0)</t>
  </si>
  <si>
    <t>Gassenweise (ja/gut = 1, nein/schlecht= 0)</t>
  </si>
  <si>
    <t>Platzweise (ja/gut = 2, nein/schlecht= 0)</t>
  </si>
  <si>
    <t>Wegweisung für den fahrenden Verkehr</t>
  </si>
  <si>
    <t>Sind die Etagen für den Fahrer klar und deutlich gekennzeichnet? (gut =3, befriedigend =2, schlecht =1, gar nicht =0)</t>
  </si>
  <si>
    <t>Sind einzelne Bereiche für den Fahrer klar und deutlich gekennzeichnet? (gut =3, befriedigend =2, schlecht =1, gar nicht =0)</t>
  </si>
  <si>
    <t>Parkleitsystem</t>
  </si>
  <si>
    <t>Statisch (ja = 1, nein = 0)</t>
  </si>
  <si>
    <t>Dynamisch (ja = 1, nein = 0)</t>
  </si>
  <si>
    <t>Beleuchtete Anzeige an der Einfahrt</t>
  </si>
  <si>
    <t>Grüner Pfeil/rotes Kreuz-Anzeige (ja = 1, nein = 0)</t>
  </si>
  <si>
    <t>Frei/Besetzt-Anzeige (ja = 1, nein = 0)</t>
  </si>
  <si>
    <t>Anzeige an den Fußgängerzugängen (ja = 1, nein = 0)</t>
  </si>
  <si>
    <t>Komfort und verschiedenes</t>
  </si>
  <si>
    <t>Hinweisschild an den Fußgängerzugängen bezüglich :</t>
  </si>
  <si>
    <t>Öffnungszeiten übliche/besondere (ja = 1, nein = 0)</t>
  </si>
  <si>
    <t>Lesbare und verständliche Anzeige der Parktarife (ja = 1, nein = 0)</t>
  </si>
  <si>
    <t>Einstellbedingungen (ja = 1, nein = 0)</t>
  </si>
  <si>
    <t>Bezahlmöglichkeiten (Zahlung am Ein-/Ausgang/am Kassenautomat):</t>
  </si>
  <si>
    <t>Münzzahlung? (ja = 1, nein = 0)</t>
  </si>
  <si>
    <t>Wechselgeld? (ja = 1, nein = 0)</t>
  </si>
  <si>
    <t>Banknoten?  (ja = 1, nein = 0)</t>
  </si>
  <si>
    <t>Kreditkarten?  (ja = 1, nein = 0)</t>
  </si>
  <si>
    <t>Zahlung per Mobiltelefon? (ja = 1, nein = 0)</t>
  </si>
  <si>
    <t>Karten-/Handyzahlung am Ausgang? (ja = 1, nein = 0)</t>
  </si>
  <si>
    <t>Identifikation und Zahlung per Kennzeichenerkennung? (ja = 1, nein = 0)</t>
  </si>
  <si>
    <t>Akzeptanz anderer Karten: Wie viele? (1 Punkt je zusätzlicher Option bis 3 Punkte)</t>
  </si>
  <si>
    <t>Zahlung an besetzter Kasse: (ja = 1, nein = 0)</t>
  </si>
  <si>
    <t>Handelt es sich um ein Parkhaus ohne Schranken? (mit Parkscheinautomaten)?</t>
  </si>
  <si>
    <t>Öffentliche Toiletten:</t>
  </si>
  <si>
    <t>Vorhanden? (ja = 2, nein = 0)</t>
  </si>
  <si>
    <t>Behindertentoilette? (ja = 1, nein = 0)</t>
  </si>
  <si>
    <t>Toiletten unisex= 0, Frauen/Männer getrennt = 1</t>
  </si>
  <si>
    <t>Toilettenaufseher(-in): ja = 1, nein = 0</t>
  </si>
  <si>
    <t>Verwendung von Farben / Verschönerungen</t>
  </si>
  <si>
    <t>Farbige Stützen = 1, nein, betongrau = 0</t>
  </si>
  <si>
    <t>Farbige Wände = 1, nein, betongrau = 0</t>
  </si>
  <si>
    <t>Besondere verschönernde Elemente:</t>
  </si>
  <si>
    <t>Kunstwerke: (ja = 2, nein = 0)</t>
  </si>
  <si>
    <t>Pflanzen: (ja = 1, nein = 0)</t>
  </si>
  <si>
    <t>Sonstiges: (ja = 1, nein = 0)</t>
  </si>
  <si>
    <t>Handyempfang (ja = 2, nein = 0)</t>
  </si>
  <si>
    <t>Radioemfang (ja = 1, nein = 0)</t>
  </si>
  <si>
    <t>Musik</t>
  </si>
  <si>
    <t>Hintergrundmusik:  ja = 2, nein = 0</t>
  </si>
  <si>
    <t>Maßnahmen zur Erleichterung der Orientierung im Parkhaus:  ja = 1, nein = 0</t>
  </si>
  <si>
    <t>Energie und Umwelt</t>
  </si>
  <si>
    <t>Energiesparende Beleuchtung</t>
  </si>
  <si>
    <t>Elektronische Vorschaltgeräte (EVG) (ja = 1, nein = 0)</t>
  </si>
  <si>
    <t>Bewegungsgesteuerte Beleuchtung (ja = 2, nein = 0)</t>
  </si>
  <si>
    <t>Photovoltaik oder andere umweltfreundliche energetische Initiativen (ja = 2, nein = 0)</t>
  </si>
  <si>
    <t>Ladestationen für Elektrofahrzeuge: (ja, mehrere = 2, eine = 1, keine = 0)</t>
  </si>
  <si>
    <t>Minuspunkte</t>
  </si>
  <si>
    <t>Vorhandensein von Graffiti in den:</t>
  </si>
  <si>
    <t>Treppenhäusern (ja = -2, nein = 0)</t>
  </si>
  <si>
    <t>Aufzügen (ja = -2, nein = 0)</t>
  </si>
  <si>
    <t>Toiletten (ja = -2, nein = 0)</t>
  </si>
  <si>
    <t>Parkebenen (ja = -2, nein = 0)</t>
  </si>
  <si>
    <t>Außenwände (ja = -2, nein = 0)</t>
  </si>
  <si>
    <t>Vorhandensein von Schmutz in den</t>
  </si>
  <si>
    <t>Vor den Eingängen und Einfahrten (ja = -2, nein = 0)</t>
  </si>
  <si>
    <t>Schlechte Qualität von Anstrichen in den</t>
  </si>
  <si>
    <t>Schlechte Qualität der Bodenmarkierungen (ja = 2, nein = 0)</t>
  </si>
  <si>
    <t xml:space="preserve">Mangelhafte Instandhaltung (Schlaglöcher, bauliche Mängel, etc.) </t>
  </si>
  <si>
    <t>Boden (ja = -2, nein = 0)</t>
  </si>
  <si>
    <t>Wänden (ja = -2, nein = 0)</t>
  </si>
  <si>
    <t>Vorhandensein von Pfützen (ja = -2, nein = 0)</t>
  </si>
  <si>
    <t>Vorhandensein von üblen Gerüchen in den</t>
  </si>
  <si>
    <t>Über 15% der Stellplätze in Sackgassen ohne Anzeige der Belegung (ja = 5, nein = 0)</t>
  </si>
  <si>
    <t>Bonuspunkte</t>
  </si>
  <si>
    <t>Zusätzliche Einrichtungen im Parkhaus:</t>
  </si>
  <si>
    <t>Motorradstellplätze (ja = 1, nein = 0)</t>
  </si>
  <si>
    <t>Schließfächer (ja = 1, nein = 0)</t>
  </si>
  <si>
    <t>Andere Angebote (ja = 1, nein = 0)</t>
  </si>
  <si>
    <t>Fahrradverleih (ja = 1, nein = 0)</t>
  </si>
  <si>
    <t>Andere Fahrerservices (ja = 1, nein = 0)</t>
  </si>
  <si>
    <t>Verkaufsautomaten (ja = 1, nein = 0)</t>
  </si>
  <si>
    <t>Defibrillator (ja = 1, nein = 0)</t>
  </si>
  <si>
    <t>Personal mit Erste-Hilfe-Ausbildung (ja = 1, nein = 0)</t>
  </si>
  <si>
    <t>Echtzeit-Verkehrsinformationen (ja = 1, nein = 0)</t>
  </si>
  <si>
    <t>Andere aktuelle Informationen  (z.B. lokale Veranstaltungen) (ja = 1, nein = 0)</t>
  </si>
  <si>
    <t>Maßnahmen zur Verbesserung des Verkehrsablaufes in Spitzenstunden (z.B. tageszeitlich wechselnde Ein-/Ausfahrtsspuren) - (ja = 3, nein = 0)</t>
  </si>
  <si>
    <t>Wendemöglichkeit für Fahrzeuge vor der Höhenbegrenzung oder besondere Anzeigen zur Vermeidung von Rückwärtsfahrten  (ja = 3, nein = 0)</t>
  </si>
  <si>
    <t>Parkhausaufsicht mit Bedientresen (ja = 1, nein = 0)</t>
  </si>
  <si>
    <t>Andere positive Punkte oder Zusatzleistungen, wie freundliches Personal, gekachelte Wände/Böden, gutes Einfügen des Parkhauses in das Stadtbild usw. (zu beschreiben). (bis zu 10 Punkte).</t>
  </si>
  <si>
    <t xml:space="preserve">Gerade Rampen mit Einrichtungsverkehr müssen mindestens 2,70 m breit sein.
Gerade Gegenverkehrsrampen müssen mindestens 6 m breit sein und eine Fahrbahnmarkierung aufweisen.
Die Breite der Rampen wird zwischen Wänden oder Stützen gemessen.
</t>
  </si>
  <si>
    <t>Gekrümmte Rampen mit Einrichtungsverkehr müssen einen Außenradius von mindestens 8,00 m aufweisen und die Fahrbahn muss mindestens 3,50 m breit sein. Bei gekrümmten Rampen mit Gegenverkehr gilt dasselbe für die innere Spur. Die äußere Spur muss ebenfalls mindestens 3,50 m breit sein.</t>
  </si>
  <si>
    <t>Einfahrtsbereich, auf dem Boden
•  über 200 Lux = 5;
•  zwischen 75 - 200 Lux: 0,04 pt pro Lux über 75  
•  weniger als 75 Lux = 0</t>
  </si>
  <si>
    <t>Einfahrt ;  in 1 m Höhe beim Ticketgeber
•  über 200 Lux = 3;
•  zwischen 100 - 200 Lux: 0,03 pt pro Lux über 100
•  weniger als 100 Lux = 0</t>
  </si>
  <si>
    <t>Ausfahrt ;  in 1 m Höhe beim Ausfahrtskontrollgerät
•  über 200 Lux = 3;
•  zwischen 100 - 200 Lux: 0,03 pt pro Lux über 100
•  weniger als 100 Lux= 0</t>
  </si>
  <si>
    <t>In Treppenhäusern und anderen ausgewiesenen Fußgängerbereichen
•  über 90 Lux = 3;
•  zwischen 30 - 90 Lux: 0,05 pt pro Lux über 30
•  weniger als 30 Lux = 0;</t>
  </si>
  <si>
    <t>Beleuchtung der Parkebenen auf dem Boden: (bitte Raster unten eintragen) 
mittlere Beleuchtungsstärke innerhalb des Rasters:
•  über 100 Lux = 10;
•  zwischen 20 - 100 Lux: 0,125 pt pro Lux über 20 
•  weniger als 20 Lux= 0</t>
  </si>
  <si>
    <t>Gleichmäßigkeit der Beleuchtung (Standardabweichung)
•  weniger als 25% der mittleren Beleuchtungsstärke = 10;
•  zwischen  25 - 50%: 0,4 pt pro % unter 50%
•  über 50% =  0</t>
  </si>
  <si>
    <t>Durchfahrtshöhe:
(Das Parkhaus erhält 1 Punkt pro 10 cm Durchfahrtshöhe über 1,90 m und 2,20 m)</t>
  </si>
  <si>
    <t>Verkehrszeichen für Nutzungsbegrenzungen
(vollständige und eindeutige Beschilderung = 3, Beschilderung unvollständig = 2, keine Beschilderung = 0)</t>
  </si>
  <si>
    <t>Einfart:
(0-2% (das Fahrzeug bleibt auch ohne Bremse stehen) = 1, 2-5% = 0, über 5% = -1)</t>
  </si>
  <si>
    <t>Ausfahrt:
(0-2% (das Fahrzeug bleibt auch ohne Bremse stehen) = 1, 2-5% = 0, über 5% = -1)</t>
  </si>
  <si>
    <t xml:space="preserve">Schrammbordausbildung zum Schutz vor Beschädigung der Reifen und Felgen:
(ja = 2, kein Schutz = 0, keine Schrammborde im Ein-Ausfahrtsbereich = 2)
</t>
  </si>
  <si>
    <t>Rutschfeste Oberfläche im Ein-/Ausfahrtsbereich:
(rutschfest = 1, rutschig wenn nass = 0)</t>
  </si>
  <si>
    <t>Durchfahrtsbreite zwischen Bauteilen im Bereich der Einfahrt/Ausfahrt
(&lt; 3 m =0, 3 – 3.3 m =1, &gt; 3.3 m = 2)</t>
  </si>
  <si>
    <t>Stützen im Bereich von mindestens 85 % der Stellplätze:
(keine Beeinträchtigung des Stellplätze = 8, am Beginn der Stellplätze = 0, nahe der Fahrzeugtür = 0, am Ende aber mit Beeinträchtigung des Stellplatzes = 4)</t>
  </si>
  <si>
    <t>Übersichtlichkeit (viele/wenige tote Winkel, Wände in der Parkebene,etc.)
gut=4, mittel=2, schlecht=0</t>
  </si>
  <si>
    <t>Stellplatzbreite (85 % der Stellplätze), A oder B: 
A: Aufstellwinkel zwischen 76 – 90 Grad
(2.25m = -5, 2.30m = 0, 2.35m = 2, 2.40m = 4, 2.45m = 6, 2.50m = 8) 
B: Aufstellwinkel zwischen 45-75 degrés
(2.25m = -5, 2.30m = 1, 2.35m = 3, 2.40m = 5, 2.45m = 8)
Die Breite von 2.25m ist nur bei über 10 Jahre alten renovierten Parkhäusern zulässig. Neue Parkhäuser müssen eine Stellplatzbreite von mindestens 2.30m aufweisen.</t>
  </si>
  <si>
    <t xml:space="preserve">Parkgassenbreite  (Fahrbahn plus 2 Stellplätze) in Abhängigkeit der Stellplatzbreite und des Aufstellwinkels:
Stellplatzbreite: 2.50m / 2.45m / 2.40m / 2.35m / 2.30m
90° :                   16.00 /  16.30 /  16.60 /  16.90 / 17.30
85° :                   15.70 /  16.00 /  16.30 /  16.60 / 16.95
80° :                   15.40 /  15.70 /  16.00 /  16.30 / 16.60
75° :                   14.95 /  15.25 /  15.55 /  15.85 / 16.15
70° :                   14.50 /  14.80 /  15.10 /  15.40 / 15.70
65° :                   14.40 /  14.40 /  14.55 /  14.80 / 15.10
60° :                   14.30 /  14.30 /  14.30 /  14.30 / 14.50
55° :                   14.00 /  14.00 /  14.00 /  14.00 / 14.10
50° :                   13.75 /  13.75 /  13.75 /  13.75 / 13.75
45° :                   13.50 /  13.50 /  13.50 /  13.50 / 13.50
Breiten wie oben aufgeführt erhalten 3 Punkte. 
Breiten bis zu 30 cm weniger erhalten 2 Punkte
Breiten bis zu 60 cm weniger erhalten 1 Punkte
Über 60 cm weniger: 0 Punkte
</t>
  </si>
  <si>
    <t>Bauliche Ausbildung der Schrammborde zum Schutz vor Beschädigungen der Reifen und Felgen:
•  Ja = 2, kein Schutz = 0</t>
  </si>
  <si>
    <t>Gefälle der Geschoßverbindungsrampen (keine Parkrampen)
•  &lt;10%=3, 10-15%=1, &gt;15%=0, keine Rampen=3</t>
  </si>
  <si>
    <t>Rampenradius (Außenradius)
•  bis 9m=0, 9–10 m=1, &gt;10m=2, keine Rampen=2
Bei mehrspurigen Rampen gelten diese Angaben für die innere Spur.</t>
  </si>
  <si>
    <t>Eingangskurve zu geraden Rampen
•  &lt;7.5m=0, 7.5–9m=1, &gt;9m=2, keine Rampen=2</t>
  </si>
  <si>
    <t>Gefälle von Parkrampen (geneigte Parkebenen)
•  &lt;5%=3, 5-7 =1, &gt;7%=0, kein Gefälle =3</t>
  </si>
  <si>
    <t>Durchgangshöhe für Fußgänger (Türen ausgenommen)
(&lt;2.00m = 0, 2.00m – 2.10m = 1, 2.10m – 2.20m = 2, &gt; 2.20m = 3)</t>
  </si>
  <si>
    <t>Sind die Türen für Fußgänger leicht zu öffnen ?
(Ja, Automatiktüren oder offene Verbindung = 4, leicht zu öffnen = 2, nein = 0)</t>
  </si>
  <si>
    <t xml:space="preserve">Liegt ein Stadtplan an einem zentralen Punkt des Parkhauses aus ?:
(An jedem Fußgängerausgang= 2, An einer anderen Stelle = 1, Nein = 0)
</t>
  </si>
  <si>
    <t>Anzahl der Aufzüge, welche das Erdgeschoß/Straßenniveau  anfahren:
(1 Aufzug = 1, 2 Aufzüge oder mehr = 5)</t>
  </si>
  <si>
    <t>Größe der Aufzüge:
(über 8 Personen = 3, 4-8 Personen = 1, weniger als 4 Personen= 0)</t>
  </si>
  <si>
    <t>Sichtverbindung zwischen Aufzug und Vorraum/Parkebene :
(Keine Sichtverbindung = 0, Türen/Schachtwände verglast = 3, kein Aufzug = 0)</t>
  </si>
  <si>
    <t>Bedienelemente im Aufzug in behindertengerechter Höhe?
•  Ja = 1, andere = 0</t>
  </si>
  <si>
    <t>Öffnungen in Treppenhauswänden
(Fenster oder vergitterte Öffnungen ins Freie oder zu den Parkebenen = 2, keine Öffnungen = 0)</t>
  </si>
  <si>
    <t>Überwachung durch Personal (vor Ort oder durch Fernüberwachung)
•  ja = 5, nein = 0</t>
  </si>
  <si>
    <t>Patroullierendes Parkhauspersonal anwesend
(24/7 = 3, während der Öffnungszeiten wenn nicht 24/7 = 1, gar nicht = 0)</t>
  </si>
  <si>
    <t xml:space="preserve">Verschließbare Ein-/Ausfahrten: 
(geschlossene Tore oder Rollgitter außerhalb der Öffnungszeiten = 2, Schnellauftore während der Öffnungszeiten = 4, langsam laufende Tore während der Öffnungszeiten = 2, keine Sicherung = 0)
</t>
  </si>
  <si>
    <t>Verschließbare Ein-/Ausgänge außerhalb der Öffnungszeiten: 
(Türen, Tore oder Rollgitter mit Öffnungen &lt;= 15 cm = 2, &gt; 15 cm = 0, keine Sicherung = 0, unzutreffend (24 Stunden Öffnungszeit) = 2)</t>
  </si>
  <si>
    <t>Vergitterung von Öffnungen nach außen
(&lt;= 15 cm = 2, &gt; 15 cm oder kein Schutz= 0, unzutreffend (keine Öffnungen) = 2)</t>
  </si>
  <si>
    <t>Gibt es zusätzliche Schilder oder Anzeigen zur Verbesserung der Orientierung der Fußgänger?
(gut = 2, einige = 1, keine = 0)</t>
  </si>
  <si>
    <t>Sind die Stellplätze einzeln nummeriert?
(nummeriert mit Geschoßbezeichnung = 2, nur nummeriert = 1, nicht = 0)</t>
  </si>
  <si>
    <t>Verwendung von Farben zur Orientierung
(ja = 1, nein = 0)</t>
  </si>
  <si>
    <t>Anzahl der Bezahlstationen für beschrankte Parkhäuser:
(eine = 0, mehr als eine = 1, eine an jedem Fußgängerzugang (außer Notausgänge) = 2, eine an jedem Fußgängerzugang = 3)</t>
  </si>
  <si>
    <t>Anzahl der Parkscheinautomaten für unbeschrankte Parkhäuser:
(einer = 0, weniger als einer pro 50 Stellplätze = 1, mehr als einer pro 50 Stellplätze = 3)</t>
  </si>
  <si>
    <t>Adaptionsstrecke an der Einfahrt.
(ja = 2, nein = 0)</t>
  </si>
  <si>
    <t>An das Tageslicht anpassbare Beleuchtung der Parkebenen (z.B. Dämmerungsschalter)
(ja = 2, nein = 0, unzutreffend (Tiefgarage) = 2)</t>
  </si>
  <si>
    <t>Spezielle Behandlung von Schmutzwasser:
•  ja = 2, nein = 0</t>
  </si>
  <si>
    <t>Verwendung von Regenwasser als Brauchwasser (z.B. zur Reinigung oder Toilettenspülung)
•  ja = 2, nein = 0</t>
  </si>
  <si>
    <t>Car Sharing oder ähnliche Angebote
•  ja = 2, nein = 0</t>
  </si>
  <si>
    <t>Andere umweltfreundliche Initiativen, z.B. zur CO²-Reduzierung
•  ja = 2, nein = 0</t>
  </si>
  <si>
    <t>Verschiedene Kritikpunkte (zu erläutern!)
[z.B.: Lärm, quietschende Reifen, unerwünschtes Publikum, etc.] bis zu-10 Pkt.</t>
  </si>
  <si>
    <t>Rolltreppen oder Rollsteige
(von/zu allen Etagen = 5, nur zu bestimmten Etagen = 3, keine Rolltreppen oder Rollsteige = 0)</t>
  </si>
  <si>
    <t>Lokalisierung von Fahrzeugen durch den Parkschein oder das Fahrzeugkennzeichen
(ja = 1, nein = 0)</t>
  </si>
  <si>
    <t>vollständig</t>
  </si>
  <si>
    <t>unvollständig</t>
  </si>
  <si>
    <t>übereinstimmend</t>
  </si>
  <si>
    <t>Kommentare</t>
  </si>
  <si>
    <t>Anzahl von Übereinstimmungen</t>
  </si>
  <si>
    <t>Anzahl von Mängeln</t>
  </si>
  <si>
    <t>nicht überprüft</t>
  </si>
  <si>
    <t>bestanden</t>
  </si>
  <si>
    <t>nicht bestanden</t>
  </si>
  <si>
    <t>Summe der Positionen</t>
  </si>
  <si>
    <t>Summe der Positionen und Unterpositionen</t>
  </si>
  <si>
    <t>vollständige Positionen</t>
  </si>
  <si>
    <t>nicht gemessen</t>
  </si>
  <si>
    <t>Punktzahl</t>
  </si>
  <si>
    <t>Maximale Punktzahl</t>
  </si>
  <si>
    <t>Prozentsatz</t>
  </si>
  <si>
    <t>Wert der Kategorie</t>
  </si>
  <si>
    <t>Gesamtbewertung</t>
  </si>
  <si>
    <t>Kategorie</t>
  </si>
  <si>
    <t>Anzahl der Positionen</t>
  </si>
  <si>
    <t>Anzahl der Übereinstimmungen</t>
  </si>
  <si>
    <t>Anzahl der Mängel</t>
  </si>
  <si>
    <t>zu vervollständigen</t>
  </si>
  <si>
    <t>% erreicht</t>
  </si>
  <si>
    <t>Punktzahl der Kategorie</t>
  </si>
  <si>
    <t>erreichte Punktzahl</t>
  </si>
  <si>
    <t>% Vollständigkeit</t>
  </si>
  <si>
    <t>Zwischensummen</t>
  </si>
  <si>
    <t>Summen</t>
  </si>
  <si>
    <t>Mindestanforderung für ESPA Award</t>
  </si>
  <si>
    <t>Mindestpunktzahl dieser Kategorie</t>
  </si>
  <si>
    <t>ESPA Award</t>
  </si>
  <si>
    <t>Messwerte</t>
  </si>
  <si>
    <t>maximaler Beitrag zum Endergebnis</t>
  </si>
  <si>
    <t>Beitrag zum Endergebnis</t>
  </si>
  <si>
    <t>Anmerkungen</t>
  </si>
  <si>
    <t>Sprache</t>
  </si>
  <si>
    <t>Name des Parkhauses</t>
  </si>
  <si>
    <t>Stadt</t>
  </si>
  <si>
    <t>Anzahl der Stellplätze</t>
  </si>
  <si>
    <t>Betreiber</t>
  </si>
  <si>
    <t>Kontaktperson</t>
  </si>
  <si>
    <t>Telefon</t>
  </si>
  <si>
    <t>Geprüft von</t>
  </si>
  <si>
    <t>Prüfbedingungen</t>
  </si>
  <si>
    <t>Tageszeit</t>
  </si>
  <si>
    <t>Wetterbedingungen</t>
  </si>
  <si>
    <t>Auslastung</t>
  </si>
  <si>
    <t>(Not yet translated) Compliant with the table</t>
  </si>
  <si>
    <t>Parkeerhoek 76º-90º</t>
  </si>
  <si>
    <t>Parkeerhoek  45º-75º</t>
  </si>
  <si>
    <t>New Language</t>
  </si>
  <si>
    <t>Help in English</t>
  </si>
  <si>
    <t>Help in Dutch</t>
  </si>
  <si>
    <t>Alons enfants de patrie
Suspendisse hendrerit ligula eget odio. Sed erat nisi, rhoncus id, imperdiet quis, blandit et, felis. In at nulla mattis neque commodo venenatis. Cras ultrices tincidunt risus. Quisque dictum diam adipiscing arcu. In diam turpis, suscipit fringilla, dapibus quis, dictum ut, ipsum. Phasellus id elit in dui bibendum bibendum.
Ut metus diam, lacinia ut, tincidunt eu, dapibus sit amet, mauris. Donec varius, felis eget lobortis vehicula, magna sapien elementum tellus, ut iaculis dui orci sed arcu. Nam nibh erat, auctor sit amet, commodo ut, ornare id, ante. In imperdiet, justo id eleifend faucibus, urna dolor consectetuer dui, vel pretium risus purus sed pede.Etiam rutrum libero posuere libero.</t>
  </si>
  <si>
    <t>Amsterdam Philips Shell
Suspendisse hendrerit ligula eget odio. Sed erat nisi, rhoncus id, imperdiet quis, blandit et, felis. In at nulla mattis neque commodo venenatis. Cras ultrices tincidunt risus. Quisque dictum diam adipiscing arcu. In diam turpis, suscipit fringilla, dapibus quis, dictum ut, ipsum. Phasellus id elit in dui bibendum bibendum.
Ut metus diam, lacinia ut, tincidunt eu, dapibus sit amet, mauris. Donec varius, felis eget lobortis vehicula, magna sapien elementum tellus, ut iaculis dui orci sed arcu. Nam nibh erat, auctor sit amet, commodo ut, ornare id, ante. In imperdiet, justo id eleifend faucibus, urna dolor consectetuer dui, vel pretium risus purus sed pede.Etiam rutrum libero posuere libero.</t>
  </si>
  <si>
    <t>God save the queen
Suspendisse hendrerit ligula eget odio. Sed erat nisi, rhoncus id, imperdiet quis, blandit et, felis. In at nulla mattis neque commodo venenatis. Cras ultrices tincidunt risus. Quisque dictum diam adipiscing arcu. In diam turpis, suscipit fringilla, dapibus quis, dictum ut, ipsum. Phasellus id elit in dui bibendum bibendum.
Ut metus diam, lacinia ut, tincidunt eu, dapibus sit amet, mauris. Donec varius, felis eget lobortis vehicula, magna sapien elementum tellus, ut iaculis dui orci sed arcu. Nam nibh erat, auctor sit amet, commodo ut, ornare id, ante. In imperdiet, justo id eleifend faucibus, urna dolor consectetuer dui, vel pretium risus purus sed pede.Etiam rutrum libero posuere libero.</t>
  </si>
  <si>
    <t>Ich bin ein berliner
Suspendisse hendrerit ligula eget odio. Sed erat nisi, rhoncus id, imperdiet quis, blandit et, felis. In at nulla mattis neque commodo venenatis. Cras ultrices tincidunt risus. Quisque dictum diam adipiscing arcu. In diam turpis, suscipit fringilla, dapibus quis, dictum ut, ipsum. Phasellus id elit in dui bibendum bibendum.
Ut metus diam, lacinia ut, tincidunt eu, dapibus sit amet, mauris. Donec varius, felis eget lobortis vehicula, magna sapien elementum tellus, ut iaculis dui orci sed arcu. Nam nibh erat, auctor sit amet, commodo ut, ornare id, ante. In imperdiet, justo id eleifend faucibus, urna dolor consectetuer dui, vel pretium risus purus sed pede.Etiam rutrum libero posuere libero.</t>
  </si>
  <si>
    <t>Help in Deutsch</t>
  </si>
  <si>
    <t>Other Systems (Yes=1, No=0)</t>
  </si>
  <si>
    <t>Ja andere systemen= 1</t>
  </si>
  <si>
    <t>Autres systèmes (Oui=1, Non=0)</t>
  </si>
  <si>
    <t>Andere Systeme (ja = 1, nein = 0)</t>
  </si>
  <si>
    <t>Er moet ten minste één gescheiden inrit en uitrit zijn, extra wisselstroken zijn toegestaan.</t>
  </si>
  <si>
    <t>Alle hellingbanen voor auto's voor één richting moeten minstens 2,7 meter breed zijn; bij tweerichtingsverkeer minstens 6 meter breed met midden markering. De breedte wordt gemeten tussen wanden of kolommen.</t>
  </si>
  <si>
    <t>Gold Award</t>
  </si>
  <si>
    <t>Configurações</t>
  </si>
  <si>
    <t>Sistema</t>
  </si>
  <si>
    <t>A fazer:</t>
  </si>
  <si>
    <t>Help System</t>
  </si>
  <si>
    <t>Splash Screen</t>
  </si>
  <si>
    <t>Configuração Inicial do Parque</t>
  </si>
  <si>
    <t>Sistema de entradas e saídas.</t>
  </si>
  <si>
    <t>Mover tabela auxiliar para a página certa</t>
  </si>
  <si>
    <t>Versão</t>
  </si>
  <si>
    <t>Default email system</t>
  </si>
  <si>
    <t>Tabela de Worksheets</t>
  </si>
  <si>
    <t>Car Park Main Characteristics</t>
  </si>
  <si>
    <t>Number of Floors</t>
  </si>
  <si>
    <t>multi-storey open daylight</t>
  </si>
  <si>
    <t>multi-storey closed no daylight</t>
  </si>
  <si>
    <t>underground</t>
  </si>
  <si>
    <t>Type</t>
  </si>
  <si>
    <t>split level</t>
  </si>
  <si>
    <t>ramped parking floors</t>
  </si>
  <si>
    <t>floors with helicons or straight ramps</t>
  </si>
  <si>
    <t>other</t>
  </si>
  <si>
    <t>barrier/gate control</t>
  </si>
  <si>
    <t>P&amp;D control</t>
  </si>
  <si>
    <t>Available Countries</t>
  </si>
  <si>
    <t>Number of Lifts</t>
  </si>
  <si>
    <t>Changing languge will reset al your previous answers. Do you want to proceed?</t>
  </si>
  <si>
    <t>Year of Construction</t>
  </si>
  <si>
    <t>Minimum headroom = 2,00 m, generally in the public areas. Incidental lower obstacles must be clearly marked.</t>
  </si>
  <si>
    <t>Minimale inrijhoogte 2,00 m. Incidentele plaatsen met lagere hoogte moeten duidelijk gemarkeerd zijn.</t>
  </si>
  <si>
    <t>Hauteur minimale au plafond=2,00m dans la majorité des espaces dédiés au public. Les quelques éventuels passages plus bas doivent être clairement signalés .</t>
  </si>
  <si>
    <t>Mindestdurchfahrtshöhe = 2,00 m im allgemein zugänglichen Bereich. Einzelne niedrigere Hindernisse müssen deutlich gekennzeichnet sein.</t>
  </si>
  <si>
    <t>Mandatory Conditions for Gold Award</t>
  </si>
  <si>
    <t>70% of bays must be at least 2.40m wide.</t>
  </si>
  <si>
    <t>70% van de parkeervakken moet minstens 2.40m breed zijn.</t>
  </si>
  <si>
    <t>70% des emplacements doivent faire au moins 2.40m de large.</t>
  </si>
  <si>
    <t>70% der Stellplätze müssen mindestens 2,40 m breit sein.</t>
  </si>
  <si>
    <t>1.11</t>
  </si>
  <si>
    <t>Average light levels on parking area at floor is at minimum 20 Lux</t>
  </si>
  <si>
    <t>Average light levels on parking area at floor is at minimum 50 Lux</t>
  </si>
  <si>
    <t>M.8</t>
  </si>
  <si>
    <t>70% of bays must be at least 2.30m wide. For renovated car parks, over ten years old, minimum bay width of 2.25m is allowed (in that case a penalty applies - check M8).</t>
  </si>
  <si>
    <t>Penalty for Mandatory Condition 1.4 Applies</t>
  </si>
  <si>
    <t>At pay-machine; at 1 m height
•  Above 200 Lux =4;
•  Between100– 200 Lux: 0,04 pt per Lux over 100
•  Below 100 Lux= 0;
•  No Pay Machines : same as exit (enter zero if this is the case)</t>
  </si>
  <si>
    <t>At cashier; at counter height
•  Above 200 Lux =4;
•  Between100– 200 Lux: 0,04 pt per Lux over 100
•  Below 100 Lux= 0;
•  No cashier = 3 (enter zero if this is the case)</t>
  </si>
  <si>
    <t>8.10</t>
  </si>
  <si>
    <t>8.11</t>
  </si>
  <si>
    <t>Are fire escapes and escape routes clearly marked
• Clear from all locations = 3
• most locations= 2
• some locations=1
• No marking of escape routes=0)</t>
  </si>
  <si>
    <t>Zijn nooduitgangen en vluchtroutes duidelijk gemarkeerd? 
• Zichtbaar vanaf elke plek = 3
• Zichtbaar vanaf de meeste plekken = 2
• Zichtbaar vanaf sommige plekken =1
• Geen aanduiding van vluchtroutes = 0</t>
  </si>
  <si>
    <t>Les sorties de secours et les chemins d’évacuation sont-ils clairement identifiables
(Clairement depuis tous les endroits= 3, depuis la plupart des endroits= 2, depuis certains endroits=1, Pas de signalisation des chemins d’évacuation=0)</t>
  </si>
  <si>
    <t>Sind die Notausgänge und Rettungswege klar und deutlich gekennzeichnet?
(an allen Standorten = 3, an den meisten Standorten = 2, nur an einigen Standorten = 1, keine Kennzeichnung der Rettungswege = 0)</t>
  </si>
  <si>
    <t>Are floor levels clearly marked?
(good =3, adequate=2, poor=1, none =0. Single level car parks = 3)</t>
  </si>
  <si>
    <t>Zijn verdiepingen duidelijk aangegeven?
• goed =3, acceptabel=2
• matig=1, geen =0
• Garage met één verdieping = 3</t>
  </si>
  <si>
    <t>Les étages sont-ils clairement marqués?
(bon =3, adéquat=2, faible=1, absent=0. Parking d’un seul niveau = 3)</t>
  </si>
  <si>
    <t>Sind die einzelnen Parkebenen klar und deutlich gekennzeichnet?
(gut = 3, befriedigend = 2, schlecht = 1, gar nicht = 0., unzutreffend, da nur 1 Geschoss = 3)</t>
  </si>
  <si>
    <t>6.5</t>
  </si>
  <si>
    <t>6.6</t>
  </si>
  <si>
    <t>ESPA Gold Award</t>
  </si>
  <si>
    <t>Global Evaluation - Gold Award</t>
  </si>
  <si>
    <t>The ESPA Worksheet uses Marcros. Please close and reopen with Macros Enabled.</t>
  </si>
  <si>
    <t>In elevator; at floor level
•  Above 70 Lux = 4;
•  Between30– 70 Lux: 0,1 pt per Lux over 30
•  Below 30 Lux = 0;
•  Single level without elevator = 3 (enter zero if this is the case)</t>
  </si>
  <si>
    <t>70% der Stellplätze müssen mindestens 2,30 m breit sein. Für renovierte Parkhäuser, die älter als 10 Jahre sind, wird ausnahmsweise eine Stellplatzbreite von 2,25 m toleriert. In diesem Fall kommt ein Pauschalabzug zur Anwendung (siehe M8).</t>
  </si>
  <si>
    <t>Die durchschnittliche Beleuchtungsstärke am Boden beträgt mindestens 20 Lux.</t>
  </si>
  <si>
    <t>Die durchschnittliche Beleuchtungsstärke am Boden beträgt mindestens 50 Lux.</t>
  </si>
  <si>
    <t>Kassenautomat, in 1 m Höhe (in diesem Fall bitte Null eingeben)
•  über 200 Lux = 4;
•  zwischen 100 - 200 Lux: 0,04 pt pro Lux über 100
•  weniger als 100 Lux = 0;
•  Kein Kassenautomat: wie bei Ausfahrt</t>
  </si>
  <si>
    <t>An der Kasse, auf Höhe des Tresens
•  über 200 Lux = 4;
•  zwischen 100 - 200 Lux: 0,04 pt pro Lux über 100
•  weniger als 100 Lux = 0;
•  Keine Kasse = 3  (in diesem Fall bitte Null eingeben)</t>
  </si>
  <si>
    <t>In Aufzügen, auf dem Boden
•  über 70 Lux = 4;
•  zwischen 30 - 70 Lux: 0,1 pt pro Lux über 30
•  weiniger als 30 Lux = 0;
•  eingeschossiges Parkhaus ohne Aufzug = 3  (in diesem Fall bitte Null eingeben)</t>
  </si>
  <si>
    <t>Strafabzug für Mindestanforderung 1.4 kommt zur Anwendung.</t>
  </si>
  <si>
    <t>Option 4_8:</t>
  </si>
  <si>
    <t>Column2</t>
  </si>
  <si>
    <t>Opção</t>
  </si>
  <si>
    <t>4.7:</t>
  </si>
  <si>
    <t>Coluna</t>
  </si>
  <si>
    <t>Op één locatie</t>
  </si>
  <si>
    <t>Eén lift</t>
  </si>
  <si>
    <t>Handreling aan één kant</t>
  </si>
  <si>
    <t>Eénlaags parkeergarage</t>
  </si>
  <si>
    <t>Minstens één bij elke reguliere voetgangersingang</t>
  </si>
  <si>
    <t>Een</t>
  </si>
  <si>
    <t>Een laadpunt</t>
  </si>
  <si>
    <t>Een betaalautomaat</t>
  </si>
  <si>
    <t>Dies wird alle Daten in dem ESPA Arbeitsblatt löschen. Sind Sie sicher?</t>
  </si>
  <si>
    <t>Sie haben ein unzulässiges Passwort eingegeben. Die ESPA Arbeitsblätter können nicht ungeschützt bleiben.</t>
  </si>
  <si>
    <t>Bitte geben Sie Ihr Passwort ein um das ESPA Arbeitsblatt zu öffnen.</t>
  </si>
  <si>
    <t>Eingabe Passwort</t>
  </si>
  <si>
    <t>Unzulässiges Passwort</t>
  </si>
  <si>
    <t>Hierdurch werden 14 Seiten auf Ihrem aktiven Drucker ausgedruckt. Sind Sie sicher?</t>
  </si>
  <si>
    <t>Alarm</t>
  </si>
  <si>
    <t>Das Ändern der Sprache wird alle Ihre bisherigen Eingaben zurücksetzen. Sind Sie sicher?</t>
  </si>
  <si>
    <t>Mindestbedingungen für den Gold Award</t>
  </si>
  <si>
    <t>Globale Bewertung - Gold Award</t>
  </si>
  <si>
    <t>Das ESPA Arbeitsblatt verwendet Macros. Bitte das Arbeitsblatt schließen, Macros zulassen und neu anschließend erneut öffnen.</t>
  </si>
  <si>
    <t>Offenes Parkhaus mit Tageslicht</t>
  </si>
  <si>
    <t>Geschlossenes Parkhaus ohne Tageslicht</t>
  </si>
  <si>
    <t>unterirdisch</t>
  </si>
  <si>
    <t>Ebenen mit gewendelten oder geraden Rampen</t>
  </si>
  <si>
    <t>Ebenen mit Gefälle (Parkrampe)</t>
  </si>
  <si>
    <t>andere</t>
  </si>
  <si>
    <t>Parkhaus mit Schranke / Tor</t>
  </si>
  <si>
    <t>Parkhaus mit Parkscheinautomaten</t>
  </si>
  <si>
    <t>Mandatory Conditions for Golden Award</t>
  </si>
  <si>
    <t>Spanish</t>
  </si>
  <si>
    <t>Portuguese</t>
  </si>
  <si>
    <t>Condiciones mínimas obligatorias</t>
  </si>
  <si>
    <t>El aparcamiento debe ser de uso público</t>
  </si>
  <si>
    <t>Gálibo mínimo = 1.90 m, por regla general en las zonas públicas. Cualquier obstáculo eventual deberá estar claramente señalizado.</t>
  </si>
  <si>
    <t>Gálibo mínimo = 2.00 m, por regla general en las zonas públicas. Cualquier obstáculo eventual deberá estar claramente señalizado.</t>
  </si>
  <si>
    <t>Deberá haber al menos un carril exclusivo de entrada y otro de salida, si bien se permitirán carriles reversibles adicionales</t>
  </si>
  <si>
    <t>El 70% de las plazas debe tener un ancho mínimo de 2.30m. Para aparcamientos renovados, de más de 10 años de antigüedad, se permite un ancho mínimo de 2.25m (en ese caso se aplica una penalización - ver M8)</t>
  </si>
  <si>
    <t>El 70% de las plazas debe tener un ancho mínimo de 2.40m</t>
  </si>
  <si>
    <t>Las rampas rectas para tráfico unidireccional deben tener un ancho mínimo de 2.7m. Las rampas de doble sentido tendrán un ancho mínimo de 6m, con marcas viales de separación. El ancho de la rampa se mide entre paredes o pilares.</t>
  </si>
  <si>
    <t>Las rampas curvas para tráfico unidreccional deben tener un radio exterior de al menos 8.00m con un ancho mínimo de carril de 3.5m. Para rampas curvas de doble sentido, lo anterior aplica al carril interior. El carril exterior debe tener también un ancho mínimo de 3.5m.</t>
  </si>
  <si>
    <t>Las pendientes de las rampas no pueden superar el 20%, medidas sobre el eje del carril. En las rampas curvas de doble sentido, lo anterior aplica al carril interior (el de mayor pendiente).</t>
  </si>
  <si>
    <t>Si el aparcamiento es de pago y dispone de control de acceso a través de barreras y puertas, deberá ser posible contactar con el personal en el punto de pago/punto de salida y en los accesos peatonales</t>
  </si>
  <si>
    <t>Se proporcionará recibo en caso de ser solicitado por el usuario</t>
  </si>
  <si>
    <t>Todos los giros se podrán realizar sin necesidad de dar marcha atrás (se excluyen las maniobras de estacionamiento y la circulación en calles sin salida)</t>
  </si>
  <si>
    <t>Los niveles lumínicos medios en la plaza de estacionamiento a nivel del suelo serán de cómo mínimo 20 Lux</t>
  </si>
  <si>
    <t>Los niveles lumínicos medios en la plaza de estacionamiento a nivel del suelo serán de cómo mínimo 50 Lux</t>
  </si>
  <si>
    <t>Iluminación</t>
  </si>
  <si>
    <t>Lista de elementos (valores en Lux, ver manual de usuario para criterios de medida)</t>
  </si>
  <si>
    <t>Zona de acceso de vehículos; a nivel del suelo
•  Más de 200 Lux = 5;
•  Entre 75– 200 Lux: 0,04 pts por Lux por encima de 75  
•  Menos de 75 Lux = 0</t>
  </si>
  <si>
    <t>Acceso; a 1 m de altura junto a la máquina expendedora de tickets
•  Más de 200 Lux = 3;
•  Entre 100– 200 Lux: 0,03 pts por Lux por encima de 100
•  Menos de 100 Lux = 0</t>
  </si>
  <si>
    <t>Salida; a 1 m de altura junto a la barrera/máquina de tickets
•  Más de 200 Lux = 3;
•  Entre 100– 200 Lux: 0,03 pts por Lux por encima de 100
•  Menos de 100 Lux = 0</t>
  </si>
  <si>
    <t>En la máquina de pago; a 1 m de altura
•  Más de 200 Lux = 4;
•  Entre 100– 200 Lux: 0,04 pts por Lux por encima de 100
•  Menos de 100 Lux = 0;
•  Si no hay máquinas de pago: igual que en salida (poner "cero" si es el caso)</t>
  </si>
  <si>
    <t>Pago manual; a la altura del mostrador
•  Más de 200 Lux = 4;
•  Entre 100 – 200 Lux: 0,04 pts por Lux por encima de 100
•  Menos de 100 Lux = 0;
•  Si no hay pago manual = 3 (poner "cero" si es el caso)</t>
  </si>
  <si>
    <t>En ascensor; a nivel del suelo
•  Más de 70 Lux = 4;
•  Entre 30 – 70 Lux: 0,1 pts por Lux por encima de 30
•  Menos de de 30 Lux = 0;
•  Planta única sin ascensor = 3 (poner "cero" si es el caso)</t>
  </si>
  <si>
    <t>En escaleras y otros accesos peatonales; a nivel del suelo
•  Más de 90 Lux = 3;
•  Entre 30 – 90 Lux: 0,05 pts por Lux por encima de 30
•  Menos de 30 Lux = 0;</t>
  </si>
  <si>
    <t>Niveles lumínicos en la zona de estacionamiento a nivel de suelo: (rellenar tabla más abajo) 
Nivel lumínico medio de la tabla:
•  Más de 100 Lux = 10;
•  Entre 20 – 100 Lux: 0,125 pts por Lux por encima de 20 
•  Menos de 20 Lux = 0</t>
  </si>
  <si>
    <t>Uniformidad de los niveles lumínicos de la tabla, desviación estándar
•  Menos de 25% del nivel lumínico medio = 10;
•  Entre 25– 50%: 0,4 pts por % por debajo de 50%
•  Más de 50% =  0</t>
  </si>
  <si>
    <t>Tabla auxiliar para 2.8</t>
  </si>
  <si>
    <t>Fondo de plaza bajo/entre luminarias</t>
  </si>
  <si>
    <t>Centro de plaza bajo/entre luminarias</t>
  </si>
  <si>
    <t>Límite entre inicio de plaza y vial de circulación bajo/entre luminarias</t>
  </si>
  <si>
    <t>Centro de vial de circulación bajo/entre luminarias</t>
  </si>
  <si>
    <t>Vial de circulación en el lado opuesto a la zona estacionamiento bajo/entre luminarias</t>
  </si>
  <si>
    <t>Acceso y salida de vehículos</t>
  </si>
  <si>
    <t>Gálibo máximo indicado a la entrada</t>
  </si>
  <si>
    <t>Señal correcta a la entrada</t>
  </si>
  <si>
    <t>Delimitador de altura</t>
  </si>
  <si>
    <t>Borde de goma para prevenir daños</t>
  </si>
  <si>
    <t>Altura:
(Se asigna al aparcamiento 1 punto por cada 10cm de altura por encima de 1.90m hasta 2.20m)</t>
  </si>
  <si>
    <t>Señales de tráfico para definir limitaciones en el uso de la instalación.
• Señalización clara = 3
• Señalización incompleta = 2
• Sin señalización = 0</t>
  </si>
  <si>
    <t>Información sobre:</t>
  </si>
  <si>
    <t>Términos y condiciones en el interior del aparcamiento</t>
  </si>
  <si>
    <t>Horario de apertura:</t>
  </si>
  <si>
    <t>Tarifas:</t>
  </si>
  <si>
    <t>Facilidad de lectura del sistema de tarifas</t>
  </si>
  <si>
    <t>Diseño de la zona de acceso/salida</t>
  </si>
  <si>
    <t>Facilidad de acceso a la máquina de tickets de entrada</t>
  </si>
  <si>
    <t>Facilidad de acceso a la máquina de tickets de salida</t>
  </si>
  <si>
    <t>Pendiente longitudinal en zona de máquinas de tickets</t>
  </si>
  <si>
    <t>Carril de entrada:
• 0-2% (vehículo no se muede sin presionar el freno) = 1
• 2-5% = 0
• Más de 5% = -1</t>
  </si>
  <si>
    <t>Carril de salida:
• 0-2% (vehículo no se muede sin presionar el freno) = 1
• 2-5% = 0
• Más de 5% = -1</t>
  </si>
  <si>
    <t>Diseño de bordillos para evitar daños en las ruedas de un vehículo estándar:
(Sí = 2, Sin protección = 0, Sin bordillos en zonas de entrada/salida = 2)</t>
  </si>
  <si>
    <t>Superficies antideslizantes en zonas de entrada y salida de rampas:
(Antideslizante = 1, Deslizante con piso húmedo = 0)</t>
  </si>
  <si>
    <t>Seguridad en accesos</t>
  </si>
  <si>
    <t>Barreras</t>
  </si>
  <si>
    <t>Interfonía</t>
  </si>
  <si>
    <t>Lector de matrículas</t>
  </si>
  <si>
    <t>Portones de cierre rápido</t>
  </si>
  <si>
    <t>Acceso para personal (entrada o salida)</t>
  </si>
  <si>
    <t>Entrada/salida del edificio: ancho entre elemetnos estructurales (por carril)
(&lt; 3 m = 0, 3 – 3.3 m =1, &gt; 3.3 m = 2)</t>
  </si>
  <si>
    <t>Salida: la pendiente de la rampa de salida finaliza al menos 5 metros de la incorporación al tráfico (peatones/ciclistas):</t>
  </si>
  <si>
    <t>subtotal acceso y salida de vehículos</t>
  </si>
  <si>
    <t>Zonas de estacionamiento</t>
  </si>
  <si>
    <t>Posición de pilares para al menos el 85% de las plazas:
• No invade la zona de estacionamiento = 8 
• al principio de la plaza = 0
• junto a la puerta del vehículo = 0
• en el fondo de plaza pero invade la zona de estacionamiento = 4</t>
  </si>
  <si>
    <t>Visibilidad (muchos/pocos ángulos muertos, paredes en el aparcamiento, etc.)
Buena = 4, Media = 2 o Mala = 0</t>
  </si>
  <si>
    <t>Señalización para el conductor:</t>
  </si>
  <si>
    <t>Las señales concuerdan con el código de carreteras del país?</t>
  </si>
  <si>
    <t>La señalización direccional: es clara, completa e inequívoca?</t>
  </si>
  <si>
    <t>Completa?</t>
  </si>
  <si>
    <t>Fácil de ver?</t>
  </si>
  <si>
    <t>Inequívoca?</t>
  </si>
  <si>
    <t>La señalización indicando la salida del aparcamiento: es clara, completa e inequívoca?</t>
  </si>
  <si>
    <t>Marcaje vial de plazas?</t>
  </si>
  <si>
    <t>Las plazas están claramente marcadas?</t>
  </si>
  <si>
    <t>El marcaje se extiende sobre los paramentos verticales para facilitar la maniobra al conductor?</t>
  </si>
  <si>
    <t>La señalización horizontal del aparcamiento es:</t>
  </si>
  <si>
    <t>Disponibilidad de plazas reservadas para personas de movilidad reducida anunciada a la entrada del aparcamiento:</t>
  </si>
  <si>
    <t>Accesibilidad para silla de ruedas?</t>
  </si>
  <si>
    <t>Anchura mínima de plazas de 3.5m?</t>
  </si>
  <si>
    <t>Cerca de las salidas peatonales?</t>
  </si>
  <si>
    <t>Guiado hacia las plazas reservadas?</t>
  </si>
  <si>
    <r>
      <t>Ángulo de aparcamiento para al menos el 85% de las plazas:
(Ángulo 76-90°</t>
    </r>
    <r>
      <rPr>
        <sz val="6"/>
        <color rgb="FF000000"/>
        <rFont val="Arial"/>
        <family val="2"/>
      </rPr>
      <t xml:space="preserve"> </t>
    </r>
    <r>
      <rPr>
        <sz val="10"/>
        <color rgb="FF000000"/>
        <rFont val="Arial"/>
        <family val="2"/>
      </rPr>
      <t>= 0, Ángulo  45-75°</t>
    </r>
    <r>
      <rPr>
        <sz val="6"/>
        <color rgb="FF000000"/>
        <rFont val="Arial"/>
        <family val="2"/>
      </rPr>
      <t xml:space="preserve"> </t>
    </r>
    <r>
      <rPr>
        <sz val="10"/>
        <color rgb="FF000000"/>
        <rFont val="Arial"/>
        <family val="2"/>
      </rPr>
      <t>= 2)</t>
    </r>
  </si>
  <si>
    <r>
      <t xml:space="preserve">Ancho de plazas (85 % de las plazas), A o B: 
A: Ángulo 76 – 90 grados
(2.25m = -5, 2.30m = 0, 2.35m = 2, 2.40m = 4, 2.45m = 6, 2.50m = 8) 
B: Ángulo 45-75 grados
(2.25m = -5, 2.30m = 1, 2.35m = 3, 2.40m = 5, 2.45m = 8)
</t>
    </r>
    <r>
      <rPr>
        <b/>
        <sz val="10"/>
        <color rgb="FF000000"/>
        <rFont val="Arial"/>
        <family val="2"/>
      </rPr>
      <t>El ancho de 2.25m únicamente es aplicable a aparcamientos renovados, los aparcamientos nuevos deben tener un ancho mínimo de 2.30m</t>
    </r>
  </si>
  <si>
    <t>Anchura total de un aparcamiento de sentido único con estacionamiento a ambos lados, en función del ángulo y el ancho de plaza
Ancho plaza: 2.50m / 2.45m / 2.40m / 2.35m / 2.30m
90° :                 16.00 /  16.30 /  16.60 /  16.90 / 17.30
85° :                 15.70 /  16.00 /  16.30 /  16.60 / 16.95
80° :                 15.40 /  15.70 /  16.00 /  16.30 / 16.60
75° :                 14.95 /  15.25 /  15.55 /  15.85 / 16.15
70° :                 14.50 /  14.80 /  15.10 /  15.40 / 15.70
65° :                 14.40 /  14.40 /  14.55 /  14.80 / 15.10
60° :                 14.30 /  14.30 /  14.30 /  14.30 / 14.50
55° :                 14.00 /  14.00 /  14.00 /  14.00 / 14.10
50° :                 13.75 /  13.75 /  13.75 /  13.75 / 13.75
45° :                 13.50 /  13.50 /  13.50 /  13.50 / 13.50
Anchura total igual o superior al valor de arriba obtiene 3 puntos. 
Hasta 30 cm menos obtiene 2 puntos
Hasta 60 cm menos obtiene 1 punto
Más de 60 cm menos: 0 puntos</t>
  </si>
  <si>
    <t>Diseño de bordillos para evitar daños en las ruedas de un vehículo estándar
•  Sí = 2, Sin protección = 1</t>
  </si>
  <si>
    <t>Rampas para vehículos</t>
  </si>
  <si>
    <t>Se trata de un aparcamiento de una única planta sin rampas para vehículos o un aparcamiento en superficie?</t>
  </si>
  <si>
    <t>Superficie de las rampas entre plantas del aparcamiento (Antideslizante 1, Lisa 0, sin rampas 1)</t>
  </si>
  <si>
    <t>Pendiente longitudinal en rampas (no usadas para aparcamiento)
•  &lt;10%=3, 10-15%=1, &gt;15%=0, sin rampas=4</t>
  </si>
  <si>
    <t>Anchura de rampas (entre bordillos), medida en el punto más estrecho</t>
  </si>
  <si>
    <t>Las rampas curvas deben ser 1 m más anchas para obtener la misma puntuación. Las rampas son curvas?</t>
  </si>
  <si>
    <t>Curvatura de la rampa (radio exterior)
•  hasta 9m=0, 9–10 m=1, &gt;10m=2, sin rampas=2
En rampas de doble dirección, la medida hace referencia al carril interior.</t>
  </si>
  <si>
    <t>Curva de aproximación a rampas rectas
•  &lt;7.5m=0, 7.5–9m=1, &gt;9m=2, sin rampas=3</t>
  </si>
  <si>
    <t>Pendiente longiitudinal de planta de aparcamiento en pendiente
•  &lt;5%=3, 5%-7% =1, &gt;7%=0, sin pendiente=4</t>
  </si>
  <si>
    <t>Accesos peatonales</t>
  </si>
  <si>
    <t>Lista de elementos</t>
  </si>
  <si>
    <t>Altura libre para peatones - excluyendo las puertas
• &lt;2.00m = 0
• 2.00m – 2.10m = 1
• 2.10m – 2.20m = 2
• &gt; 2.20m = 4</t>
  </si>
  <si>
    <t>Ruta peatonal separada (por ejemplo, sobreelevada; marcas horizontales o colores) (sí = 2, no = 0)</t>
  </si>
  <si>
    <r>
      <t xml:space="preserve">Las puertas peatonales son de fácil uso?
(Sí, automáticas o </t>
    </r>
    <r>
      <rPr>
        <sz val="11"/>
        <color rgb="FFFF0000"/>
        <rFont val="Calibri"/>
        <family val="2"/>
      </rPr>
      <t>paso abierto</t>
    </r>
    <r>
      <rPr>
        <sz val="11"/>
        <color rgb="FF000000"/>
        <rFont val="Calibri"/>
        <family val="2"/>
        <charset val="204"/>
      </rPr>
      <t xml:space="preserve"> = 4, Apertura fácil = 2, No = 0)</t>
    </r>
  </si>
  <si>
    <t>Acceso peatonal controlado vía ticket/tarjeta en horario de apertura del aparcamiento (Sí=1, No=0)</t>
  </si>
  <si>
    <t>Plano de la ciudad City plan a central location in car park:
(En todas las salidas peatonales = 2, Sólo en un lugar = 1, No = 0)</t>
  </si>
  <si>
    <t>Guiado:</t>
  </si>
  <si>
    <t>hacia lugares turísticos alrededor del aparcamiento en las salidas peatonales (Sí=1, No=0):</t>
  </si>
  <si>
    <t>alrededor del aparcamiento hacia los accesos peatonales (Sí=1, No=0):</t>
  </si>
  <si>
    <t>Se trata de un aparcamiento de una única planta a nivel de calle (no en superficie)?</t>
  </si>
  <si>
    <t>Hay ascensores que conecten el nivel de calle?</t>
  </si>
  <si>
    <t>Número de ascensores a nivel de calle:
(1 ascensor = 1, 2 o más ascensores = 5)</t>
  </si>
  <si>
    <t>Tamaño de ascensores:
(Más de 8 personas = 3, 4-8 personas = 1, menos de 4 = 0)</t>
  </si>
  <si>
    <t>Visibilidad desde el interior del ascensor hacia el vestíbulo/zona de aparcamiento
(no hay visibilidad desde el ascensor = 0, puertas y muros acristalados = 3, no hay ascensor = 0)</t>
  </si>
  <si>
    <t>Indicación de la planta:</t>
  </si>
  <si>
    <t>en el interior del ascensor:</t>
  </si>
  <si>
    <t>en el rellano del ascensor:</t>
  </si>
  <si>
    <t>Los botones del ascensor están a una altura para silla de ruedas
•  Sí = 1, Otros = 1</t>
  </si>
  <si>
    <t>Puertas directamente hacia zona de aparcamiento</t>
  </si>
  <si>
    <t>Ancho (&lt;90 cm =0, &gt;=90 cm = 2)</t>
  </si>
  <si>
    <t>Puertas de emergencia, abierta por defecto (Sí=2, No= 0)</t>
  </si>
  <si>
    <t>Visibilidad (Puerta/muro acristalado = 3, Sin cristal = 0)</t>
  </si>
  <si>
    <t>Son los ascensores la principal conexión vertical? (escaleras únicamente para evacuación en caso de emergencia o secundarias)</t>
  </si>
  <si>
    <t>Núcleos de escaleras (visibilidad y orientación)</t>
  </si>
  <si>
    <t>Vista despejada (Sí = 1, No = 0, No aplica = 1)</t>
  </si>
  <si>
    <t>Indicación de planta (Sí = 1, No = 0, No aplica = 1)</t>
  </si>
  <si>
    <t>Escaleras (incluye visibilidad reforzada de escalones)</t>
  </si>
  <si>
    <t>Ancho (&lt; 1.5 m = 0, &gt; 1.5m = 2)</t>
  </si>
  <si>
    <t>Barandillas (Sin barandillas =0, Un lado = 1, Ambos lados=2)</t>
  </si>
  <si>
    <t>Visibilidad reforzada de escalones para personas con deficiencias visuales (Sí = 2, No = 0)</t>
  </si>
  <si>
    <t>Superficie antideslizante en escaleras: (Sí = 2, No = 0)</t>
  </si>
  <si>
    <t>Aperturas exteriores en el núcleo de escaleras
(ventana/rejilla al exterior o aparcamiento =2, ninguna =0)</t>
  </si>
  <si>
    <t>Herramientas de seguridad</t>
  </si>
  <si>
    <t>CCTV con aviso a la entrada = 3, No hay CCTV =0</t>
  </si>
  <si>
    <t>Personal de vigilancia (presencial o remoto)
•  Sí = 5, No = 1</t>
  </si>
  <si>
    <t>CCTV en:</t>
  </si>
  <si>
    <t>Entrada de vehículos: Sí =1, No =0</t>
  </si>
  <si>
    <t>Salida de vehículos: Sí =1, No =0</t>
  </si>
  <si>
    <t>Máquina de pago: Sí =1, No =0</t>
  </si>
  <si>
    <t>Vestíbulo de ascensor, en cada planta: Sí =1, No =0</t>
  </si>
  <si>
    <t>Núcleo de escaleras, en cada planta: Sí =1, No =0</t>
  </si>
  <si>
    <t>Accesos peatonales: Sí =1, No =0</t>
  </si>
  <si>
    <t>Mayor parte de la zona de aparcamiento (65%):Sí =3, No =0</t>
  </si>
  <si>
    <t xml:space="preserve"> Rampas: Sí = 1, No = 0</t>
  </si>
  <si>
    <t>Personal localizable a través de:</t>
  </si>
  <si>
    <t>Interfonía en la máquina de pago y/o accesos controlados (24/7=3, Todas las horas de apertura si no 24/7= 2, Tiempo parcial/no disponible = 0)</t>
  </si>
  <si>
    <t>Sistema de aviso de emergencia en zona de aparcamiento (24/7=3, Todas las horas de apertura si no 24/7= 2, Tiempo parcial/no disponible = 0)</t>
  </si>
  <si>
    <t>Personal identificado presente y vigilando el aparcamiento
(24/7 = 3, Durante horario de apertura = 2, Tiempo parcial = 1, No = 0)</t>
  </si>
  <si>
    <r>
      <t>Cierre de entrada/salida de vehículos:</t>
    </r>
    <r>
      <rPr>
        <sz val="11"/>
        <color rgb="FF000000"/>
        <rFont val="Calibri"/>
        <family val="2"/>
        <charset val="204"/>
      </rPr>
      <t xml:space="preserve"> 
(Portón cerrado fuera de horario de apertura = 2, Mecanismo de seguridad de cierre rápido durante horario apertura = 4, Mecanismo de seguridad de cierre lento durante horario apertura = 2, Sin mecanismo = 0)</t>
    </r>
  </si>
  <si>
    <t>Cierre de entradas y salidas peatonales (fuera de horario de apertura).
(Puerta/portón cuya apertura máxima es &lt;= 15cm = 2, más de 15 cm = 0, ningún tipo de cierre = 0, No aplica (horario de apertura 24h) = 2)</t>
  </si>
  <si>
    <t>Rejillas en aperturas exteriores y rejillas de seguridad
(&lt;= 15 cm = 2, &gt; 15 cm o sin protección= 0, No aplica (no hay aperturas exteriores) = 2)</t>
  </si>
  <si>
    <t>Orientación en interior y exterior del aparcamiento</t>
  </si>
  <si>
    <t>Identificación de plazas libres</t>
  </si>
  <si>
    <t>Por planta (sí/buena = 2, no/mala = 0)</t>
  </si>
  <si>
    <t>Por fila (sí/buena = 1, no/mala = 0)</t>
  </si>
  <si>
    <t>Por plaza individual (sí/buena = 2, no/mala = 0)</t>
  </si>
  <si>
    <t>Orientación (vehículos)</t>
  </si>
  <si>
    <t>Las plantas están claramente identificadas para los conductores? (Bien =3, Correcto =2, Mal =1, No =0)</t>
  </si>
  <si>
    <t>Los sectores de cada planta están claramente identificados para los conductores? (Bien =3, Correcto =2, Mal =1, No =0)</t>
  </si>
  <si>
    <t>Las salidas de emergencia en caso de incendio están debidamente señalizadas
• Claramente desde cualquier ubicación = 3
• La mayor parte de ubicaciones = 2
• Algunas ubicaciones =1
• No están señalizadas = 0)</t>
  </si>
  <si>
    <t>Las plantas están claramente señalizadas?
(bien =3, correcto=2, mal=1, ninguna señalización =0. Aparcamiento de una única planta = 3)</t>
  </si>
  <si>
    <t>Existe señalización adicional para orientar al peatón
(buena =2, alguna =1, ninguna = 0)</t>
  </si>
  <si>
    <t>Als plazas están numeradas individualmente
(Numeración incluye identificación de planta =2, Sólo números =1, ninguna =0)</t>
  </si>
  <si>
    <t>Uso de colores para orientación
(Sí= 1, No= 0)</t>
  </si>
  <si>
    <t>Señalización de orientación hacia al aparcamiento en las proximidades del mismo</t>
  </si>
  <si>
    <t>Únicamente señalización estática (Sí = 1, No = 0)</t>
  </si>
  <si>
    <t>Señalización dinámica adicional (Sí = 1, No = 0)</t>
  </si>
  <si>
    <t>Señalización luminosa a la entrada del aparcamiento</t>
  </si>
  <si>
    <t>Señalización direccional flecha verde, cruz roja (Sí = 1, No = 0)</t>
  </si>
  <si>
    <t>Señal libre/completo (Sí = 1, No = 0)</t>
  </si>
  <si>
    <t>Señalización de accesos peatonales (Sí = 1, No = 0)</t>
  </si>
  <si>
    <t>Comfort y varios</t>
  </si>
  <si>
    <t>Panel en los accesos peatonales indicando:</t>
  </si>
  <si>
    <t>Horas de apertura normales/específicas (sí = 1, no = 0)</t>
  </si>
  <si>
    <t>Cuadro de tariifas legible y fácil de entender (sí = 1, no = 0)</t>
  </si>
  <si>
    <t>Términos y condiciones (sí = 1, no = 0)</t>
  </si>
  <si>
    <t>Opciones de pago (pago a la salida/pago manual):</t>
  </si>
  <si>
    <t>Se aceptan monedas? (sí =1, no =0)</t>
  </si>
  <si>
    <t>Da cambio? (sí =1, no =0)</t>
  </si>
  <si>
    <t>Se aceptan billetes?  (sí =1, no =0)</t>
  </si>
  <si>
    <t>Se aceptan tarjetas de crédito?  (sí =1, no =0)</t>
  </si>
  <si>
    <t>Pago a través de smart phone? (sí =1, no =0)</t>
  </si>
  <si>
    <t>Pago a través de tarjeta/teléfono a la salida? (sí =1, no =0)</t>
  </si>
  <si>
    <t>Identificación y pago a través de la matrícula? (sí =1, no =0)</t>
  </si>
  <si>
    <t>Se aceptan otras tarjetas: cuántas? (1 punto adicional por cada una hasta 3)</t>
  </si>
  <si>
    <t>Pago en el centro de control: (sí = 1, no = 0)</t>
  </si>
  <si>
    <t>Se trata de un aparcamiento sin barreras (pago en parquímetros)?</t>
  </si>
  <si>
    <t>Número de puntos de pago en aparcamientos controlados mediante barreras:
(Un punto de pago = 0,  Más de uno =1, Uno en cada acceso peatonal, excluyendo salidas de emergencia =2, Más de uno en cada acceso peatonal =3)</t>
  </si>
  <si>
    <t>Número de parquímetros en aparcamientos sin barreras
(Uno =0, &lt; 1 cada 50 plazas =2, &gt;1 cada 50 plazas =3)</t>
  </si>
  <si>
    <t>Aseos públicos:</t>
  </si>
  <si>
    <t>Existen? (sí= 2, no= 0)</t>
  </si>
  <si>
    <t>Aseo para minusválidos? (sí=1, no= 0)</t>
  </si>
  <si>
    <t>unisex = 0, separación hombres/mujeres = 1</t>
  </si>
  <si>
    <t>presencia de un empleado: Sí=1, no= 0</t>
  </si>
  <si>
    <t>Uso de colores/ornamentos</t>
  </si>
  <si>
    <t>Pilares pintados =1, no/hormigón gris = 0</t>
  </si>
  <si>
    <t>Muros pintados =1, no/hormigón gris = 0</t>
  </si>
  <si>
    <t>Ornamentos adicionales</t>
  </si>
  <si>
    <t>Obras de arte: (Sí = 2, No = 0)</t>
  </si>
  <si>
    <t>Botánica: (Sí = 1, No = 0)</t>
  </si>
  <si>
    <t>Otros: (Sí = 1, No = 0)</t>
  </si>
  <si>
    <t>Cobertura para telefonía móvil (Sí = 2, No = 0)</t>
  </si>
  <si>
    <t>Cobertura señal de radio (Sí = 1, No = 0)</t>
  </si>
  <si>
    <t>Música</t>
  </si>
  <si>
    <t>Música de fondo: Sí = 2, No = 0</t>
  </si>
  <si>
    <t>Diferenciación para orientación en el interior:  Sí =1, No = 0</t>
  </si>
  <si>
    <t>Energía y medioambiente</t>
  </si>
  <si>
    <t>Sistemas de eficiencia energética en iluminación</t>
  </si>
  <si>
    <t>Compensación del factor de potencia (Sí=1, No=0)</t>
  </si>
  <si>
    <t>Otros sistemas (Sí=1, No=0)</t>
  </si>
  <si>
    <t>Iluminación variable mediante sensores de movimiento (sí= 2, no= 0)</t>
  </si>
  <si>
    <t>Iluminación variable a la entrada del aparcamaniento en función de la luz natural exterior
(sí= 2, no= 0)</t>
  </si>
  <si>
    <t>Iluminación variable en las plantas del aparcamiento en función de la luz natural exterior
(sí= 2, no= 0, No aplica (subterráneo) =2)</t>
  </si>
  <si>
    <t>Paneles solares en cubierta u otras iniciativas en materia de energías renovables (sí= 2, no= 0)</t>
  </si>
  <si>
    <t>Tratamiento de aguas fecales:
•  sí= 2, no= 0</t>
  </si>
  <si>
    <t xml:space="preserve">Tratamiento de aguas de limpieza y reutilización de aguas pluviales
•  sí= 2, no= 0
</t>
  </si>
  <si>
    <t>Puntos de recarga para vehículo eléctrico: (Sí, más de uno= 2, Un punto de recarga=1, Ninguno=0)</t>
  </si>
  <si>
    <t>Vehículo compartido e iniciativas similares
•  sí= 2, no= 0</t>
  </si>
  <si>
    <t>Otras iniciativas medioambientales o de "emición cero"
•  sí= 2, no= 0</t>
  </si>
  <si>
    <t>Puntos negativos</t>
  </si>
  <si>
    <t>Presencia graffiti y pintadas</t>
  </si>
  <si>
    <t>Escaleras (Sí= -2, No= 0)</t>
  </si>
  <si>
    <t>Ascensores (Sí= -2, No= 0)</t>
  </si>
  <si>
    <t>Aseos (Sí= -2, No= 0)</t>
  </si>
  <si>
    <t>Zonas de aparcamiento (Sí= -2, No= 0)</t>
  </si>
  <si>
    <t>Muros exteriores (Sí= -2, No= 0)</t>
  </si>
  <si>
    <t>Presencia de suciedad</t>
  </si>
  <si>
    <t>En el exterior de los accesos peatonales y de vehículos (Sí= -2, No= 0)</t>
  </si>
  <si>
    <t>Baja calidad de la pintura</t>
  </si>
  <si>
    <t>Baja calidad de marcas horizontales (Sí= -2, No= 0)</t>
  </si>
  <si>
    <t xml:space="preserve">Baja calidad/falta de mantenimiento (baches ,daños) </t>
  </si>
  <si>
    <t>Pavimentos (Sí= -2, No= 0)</t>
  </si>
  <si>
    <t>Muros (Sí= -2, No= 0)</t>
  </si>
  <si>
    <t>Evidencia de agua estancada (Sí= -2, No= 0)</t>
  </si>
  <si>
    <t>Evidencia de malos olores</t>
  </si>
  <si>
    <t>Plazas de aparcamiento (Sí= -2, No= 0)</t>
  </si>
  <si>
    <t>Más del 15% de las plazas en viales sin salida, sin indicación sobre su ocupación (Sí= -5, No=0)</t>
  </si>
  <si>
    <t>Puntos diversos de crítica (a desarrollar!)
[Por ejemplo, eco, chirrido de neumáticos, visitantes inesperados, etc.] hasta -10</t>
  </si>
  <si>
    <t>Penalización por Condición Obligatoria 1.4</t>
  </si>
  <si>
    <t>Puntos Bonus</t>
  </si>
  <si>
    <t>Elementos adicionales en el aparcamiento</t>
  </si>
  <si>
    <t>Aparcamiento para motocicletas (Sí= 1, No= 0)</t>
  </si>
  <si>
    <t>Taquillas para uso de los clientes (Sí= 1, No= 0)</t>
  </si>
  <si>
    <t>Otras ayudas (Sí= 1, No= 0)</t>
  </si>
  <si>
    <t>Alquiler de bicicletas (Sí= 1, No= 0)</t>
  </si>
  <si>
    <t>Otro tipo de asistencia al conductor (Sí= 1, No= 0)</t>
  </si>
  <si>
    <t>Máquinas de vending (Sí= 1, No= 0)</t>
  </si>
  <si>
    <t>Desfibrilador (Sí= 1, No= 0)</t>
  </si>
  <si>
    <t>Personal preparado para prestar primeros auxilios (Sí= 1, No= 0)</t>
  </si>
  <si>
    <t>Datos de tráfico en tiempo real (Sí= 1, No= 0)</t>
  </si>
  <si>
    <t>Otro tipo de información en tiempo real (por ejemplo ferias locales) (Sí= 1, No= 0)</t>
  </si>
  <si>
    <t>Medidas para evitar colas en horas punta (por ejemplo, carriles reversibles en acceso/salida) - (Sí= 3, No= 0)</t>
  </si>
  <si>
    <t>Posibilidad de escapatoria antes de la barrera o bien indicación de "completo" sin necesidad de dar marcha atrás (Sí= 3, No= 0)</t>
  </si>
  <si>
    <t>Mostrador de atención al cliente (Sí= 1, No= 0)</t>
  </si>
  <si>
    <t>Escaleras mecánicas o cintas
(Desde/hasta todas las plantas =5, Desde/hasta algunas plantas =3, Sin escaleras mecánicas ni cintas = 0)</t>
  </si>
  <si>
    <t>Localización de vehículos aparcados mediante el ticket o matrícula
(Sí= 1, No= 0)</t>
  </si>
  <si>
    <t>Otros aspectos positivos, por ejemplo servicios adicionales, personal amable, muros/pavimentos alicatados, buen encaje urbanístico del aparcamiento en la ciudad, etc. hasta 10 puntos bonus adicionales. Deben ser identificados de manera explícita.</t>
  </si>
  <si>
    <t>otros</t>
  </si>
  <si>
    <t>parquímetros</t>
  </si>
  <si>
    <t>control mediante barreras/puertas</t>
  </si>
  <si>
    <t>plantas conectadas mediante rampas helicoidales o rectas</t>
  </si>
  <si>
    <t>semi-plantas</t>
  </si>
  <si>
    <t>subterráneo</t>
  </si>
  <si>
    <t>en altura sin luz natural</t>
  </si>
  <si>
    <t>en altura con luz natural</t>
  </si>
  <si>
    <t>sin pendiente</t>
  </si>
  <si>
    <t>sin rampas</t>
  </si>
  <si>
    <t>Sin escaleras mecánicas ni cintas</t>
  </si>
  <si>
    <t>Desde/hasta algunas plantas</t>
  </si>
  <si>
    <t>Desde/hasta todas las plantas</t>
  </si>
  <si>
    <t>Ninguno</t>
  </si>
  <si>
    <t>Un punto de recarga</t>
  </si>
  <si>
    <t>Más de un punto de recarga</t>
  </si>
  <si>
    <t>No/hormigón gris</t>
  </si>
  <si>
    <t>Muros pintados</t>
  </si>
  <si>
    <t>Pilares pintados</t>
  </si>
  <si>
    <t>Separación hombres/mujeres</t>
  </si>
  <si>
    <t>&gt;1 cada 50 plazas</t>
  </si>
  <si>
    <t>&lt; 1 cada 50 plazas</t>
  </si>
  <si>
    <t>Uno</t>
  </si>
  <si>
    <t>Más de uno en cada acceso peatonal</t>
  </si>
  <si>
    <t>Uno en cada acceso peatonal</t>
  </si>
  <si>
    <t>Más de uno</t>
  </si>
  <si>
    <t>Un punto de pago</t>
  </si>
  <si>
    <t>Ninguna</t>
  </si>
  <si>
    <t>Sólo números</t>
  </si>
  <si>
    <t>Numeración incluye identificación de planta</t>
  </si>
  <si>
    <t>Alguna</t>
  </si>
  <si>
    <t>Buena</t>
  </si>
  <si>
    <t>Aparcamiento de una única planta</t>
  </si>
  <si>
    <t>Mal</t>
  </si>
  <si>
    <t>Correcto</t>
  </si>
  <si>
    <t>Bien</t>
  </si>
  <si>
    <t>No están señalizadas</t>
  </si>
  <si>
    <t>Algunas ubicaciones</t>
  </si>
  <si>
    <t>La mayor parte de ubicaciones</t>
  </si>
  <si>
    <t>Claramente desde cualquier ubicación</t>
  </si>
  <si>
    <t>No/Mala</t>
  </si>
  <si>
    <t>Sí/Buena</t>
  </si>
  <si>
    <t>No aplica (no hay aperturas exteriores)</t>
  </si>
  <si>
    <t>&gt;15 cm o sin protección</t>
  </si>
  <si>
    <t>No aplica (apertura 24h)</t>
  </si>
  <si>
    <t>Ningún tipo de cierre</t>
  </si>
  <si>
    <t>Puerta/portón cuya apertura máxima es &gt; 15cm</t>
  </si>
  <si>
    <t>Puerta/portón cuya apertura máxima es &lt;= 15cm</t>
  </si>
  <si>
    <t>Sin mecanismo</t>
  </si>
  <si>
    <t xml:space="preserve"> Mecanismo de seguridad de cierre lento durante horario apertura</t>
  </si>
  <si>
    <t>Mecanismo de seguridad de cierre rápido durante horario apertura</t>
  </si>
  <si>
    <t>Portón cerrado fuera de horario de apertura</t>
  </si>
  <si>
    <t>Tiempo parcial</t>
  </si>
  <si>
    <t>Durante horario de apertura</t>
  </si>
  <si>
    <t>Tiempo parcial/no disponible</t>
  </si>
  <si>
    <t>Todas las horas de apertura si no 24*7</t>
  </si>
  <si>
    <t>Ventana/rejilla</t>
  </si>
  <si>
    <t>Ambos lados</t>
  </si>
  <si>
    <t>A un lado</t>
  </si>
  <si>
    <t>Sin barandillas</t>
  </si>
  <si>
    <t>Sin cristal</t>
  </si>
  <si>
    <t>Puerta/muro acristalado</t>
  </si>
  <si>
    <t>no hay ascensor</t>
  </si>
  <si>
    <t xml:space="preserve">puertas y muros acristalados </t>
  </si>
  <si>
    <t>no hay visibilidad desde el ascensor</t>
  </si>
  <si>
    <t>Menos de 4 personas</t>
  </si>
  <si>
    <t>De 4 a 8 personas</t>
  </si>
  <si>
    <t>Más de 8 personas</t>
  </si>
  <si>
    <t>Dos o más ascensores</t>
  </si>
  <si>
    <t>Un ascensor</t>
  </si>
  <si>
    <t>Sólo en un lugar</t>
  </si>
  <si>
    <t>En todas las salidas peatonales</t>
  </si>
  <si>
    <t>Apertura fácil</t>
  </si>
  <si>
    <t>Sí (automáticas o paso abierto)</t>
  </si>
  <si>
    <t>Sin rampas</t>
  </si>
  <si>
    <t>Lisa</t>
  </si>
  <si>
    <t>Antideslizante</t>
  </si>
  <si>
    <t>Más de 60 cm menos</t>
  </si>
  <si>
    <t>Hasta 60 cm menos</t>
  </si>
  <si>
    <t>Hasta 30 cm menos</t>
  </si>
  <si>
    <t>Conforme a la tabla</t>
  </si>
  <si>
    <t>Más de 2.50 m</t>
  </si>
  <si>
    <t>Ángulo  45°-75°</t>
  </si>
  <si>
    <t>Ángulo 76°-90°</t>
  </si>
  <si>
    <t>Mala</t>
  </si>
  <si>
    <t>Media</t>
  </si>
  <si>
    <t>Pilar en el fondo de plaza pero invade la zona de estacionamiento</t>
  </si>
  <si>
    <t>Pilar junto a la puerta del vehículo</t>
  </si>
  <si>
    <t>Pilar al principio de la plaza</t>
  </si>
  <si>
    <t>Pilar no invade la zona de estacionamiento</t>
  </si>
  <si>
    <t>Deslizante con piso húmedo</t>
  </si>
  <si>
    <t>Sin bordillos en zonas de entrada/salida</t>
  </si>
  <si>
    <t>Sin protección</t>
  </si>
  <si>
    <t>Sí</t>
  </si>
  <si>
    <t>Más de 5%</t>
  </si>
  <si>
    <t>No hay señalización</t>
  </si>
  <si>
    <t>Señalización incompleta</t>
  </si>
  <si>
    <t>Señalización clara</t>
  </si>
  <si>
    <t>No aplica</t>
  </si>
  <si>
    <t>Fallo</t>
  </si>
  <si>
    <t>alrededor 50%</t>
  </si>
  <si>
    <t>Nocturno</t>
  </si>
  <si>
    <t>Oscuro</t>
  </si>
  <si>
    <t>Lluvioso</t>
  </si>
  <si>
    <t>Nuvoso</t>
  </si>
  <si>
    <t>Soleado</t>
  </si>
  <si>
    <t>Noche</t>
  </si>
  <si>
    <t>Tarde</t>
  </si>
  <si>
    <t>Mañana</t>
  </si>
  <si>
    <t>La hoja de cálculo ESPA utiliza Macros. Cierre el archivo y vuelva a abrirlo con la opción Macros activadas.</t>
  </si>
  <si>
    <t>Evaluación global - Premio Oro</t>
  </si>
  <si>
    <t>Permio Oro ESPA</t>
  </si>
  <si>
    <t>Condiciones obligatorias para premio Oro</t>
  </si>
  <si>
    <t>El cambio de idioma eliminará sus respuestas anteriores. Desea continuar?</t>
  </si>
  <si>
    <t>Alerta</t>
  </si>
  <si>
    <t>Contraseña incorrecta</t>
  </si>
  <si>
    <t>Introduzca la contraseña</t>
  </si>
  <si>
    <t>Introduzca la contraseña para desproteger la hoja de cálculo ESPA:</t>
  </si>
  <si>
    <t>La constraseña introducida es incorrecta. No se ha podido desproteger la hoja de cálculo.</t>
  </si>
  <si>
    <t>Se borrarán todos los datos de la hoja de cálculo ESPA. Desea continuar?</t>
  </si>
  <si>
    <t>Notas</t>
  </si>
  <si>
    <t>Comentarios</t>
  </si>
  <si>
    <t>Contribución a la puntuación final</t>
  </si>
  <si>
    <t>Contribución máxima a la puntuación final</t>
  </si>
  <si>
    <t>Valor medido</t>
  </si>
  <si>
    <t>Premio ESPA</t>
  </si>
  <si>
    <t>Puntuación mínima de las categorías</t>
  </si>
  <si>
    <t>Requisito mínimo para premio ESPA</t>
  </si>
  <si>
    <t>Totales</t>
  </si>
  <si>
    <t>Subtotales</t>
  </si>
  <si>
    <t>% ejecución</t>
  </si>
  <si>
    <t>Estado</t>
  </si>
  <si>
    <t>Puntos obtenidos</t>
  </si>
  <si>
    <t>Puntos de la categoría</t>
  </si>
  <si>
    <t>Mínimo</t>
  </si>
  <si>
    <t>% obtenido</t>
  </si>
  <si>
    <t>A rellenar</t>
  </si>
  <si>
    <t>Número de fallos:</t>
  </si>
  <si>
    <t>Número de OK:</t>
  </si>
  <si>
    <t>Número de elementos</t>
  </si>
  <si>
    <t>Categoría</t>
  </si>
  <si>
    <t>Evaluación global</t>
  </si>
  <si>
    <t>Valor de la categoría</t>
  </si>
  <si>
    <t>Porcentaje</t>
  </si>
  <si>
    <t>Puntuación máxima</t>
  </si>
  <si>
    <t>Puntuación</t>
  </si>
  <si>
    <t>No medido</t>
  </si>
  <si>
    <t>Elementos completados</t>
  </si>
  <si>
    <t>Total elementos + sub-elementos</t>
  </si>
  <si>
    <t>Total elementos</t>
  </si>
  <si>
    <t>Incompleto</t>
  </si>
  <si>
    <t>Suspendido</t>
  </si>
  <si>
    <t>Aprobado</t>
  </si>
  <si>
    <t>No evaluado</t>
  </si>
  <si>
    <t>Completo</t>
  </si>
  <si>
    <t>Ratio de ocupación</t>
  </si>
  <si>
    <t>Condiciones climáticas</t>
  </si>
  <si>
    <t>Hora del día</t>
  </si>
  <si>
    <t>Condiciones de la valoración</t>
  </si>
  <si>
    <t>Valorado por</t>
  </si>
  <si>
    <t>Teléfono</t>
  </si>
  <si>
    <t>Correo electrónico</t>
  </si>
  <si>
    <t>Persona de contacto</t>
  </si>
  <si>
    <t>Operador</t>
  </si>
  <si>
    <t>Número de plazas</t>
  </si>
  <si>
    <t>Ciudad</t>
  </si>
  <si>
    <t>Dirección</t>
  </si>
  <si>
    <t>Nombre del aparcamiento</t>
  </si>
  <si>
    <t>País</t>
  </si>
  <si>
    <t>Idioma</t>
  </si>
  <si>
    <t>Fecha</t>
  </si>
  <si>
    <t>Condições Mínimas Necessárias</t>
  </si>
  <si>
    <t>Parque de estacionamento para uso público</t>
  </si>
  <si>
    <t>Pé-direito mínimo = 1,90 m, geralmente nas áreas públicas. Eventuais obstáculos a menor altura devem estar claramente identificados.</t>
  </si>
  <si>
    <t>Pé-direito mínimo = 2,00 m, geralmente nas áreas públicas. Eventuais obstáculos a menor altura devem estar claramente identificados.</t>
  </si>
  <si>
    <t>Deve existir pelo menos um acesso exclusivo para entradas e um acesso exclusivo para saídas, apesar de poderem existir vias de fluxo bidirecional adicionais.</t>
  </si>
  <si>
    <t>70% dos lugares de estacionamento devem ter no mínimo 2.30m de largura. Para parques de estacionamento renovados, com mais de dez anos de idade, a largura mínima do lugar permitida é de 2.25m (neste caso aplica-se uma penalidade - ver M8).</t>
  </si>
  <si>
    <t>70% dos lugares de estacionamento devem ter no mínimo de 2.40m de largura.</t>
  </si>
  <si>
    <t>Todas as rampas retas com tráfego unidirecional devem ter no mínimo 2.7 metros de largura. Rampas bidirecionais devem ter no mínimo 6m de largura, com marcações das faixas. A largura da rampa é medida entre paredes ou pilares</t>
  </si>
  <si>
    <t>Rampas curvas para tráfego direcional único devem ter um raio externo mínimo de 8.00 m, com largura de faixa mínima de 3.50 m. (Para rampas curvas bidirecionais, aplica-se para a faixa de rodagem interior. A faixa de rodagem exterior também deve ter largura mínima de 3.50 m)</t>
  </si>
  <si>
    <t>A inclinação das rampas não deve exceder 20%, medido no centro da faixa de rodagem. Em rampas curvas bidirecionais, aplica-se para a rampa interior (mais inclinada).</t>
  </si>
  <si>
    <t>Se o parque de estacionamento tem estacionamento pago e controlo de acessos por barreiras ou portões, funcionários devem estar contactáveis a partir dos locais de pagamento, das saídas e de entradas pedonais com porta fechada.</t>
  </si>
  <si>
    <t>Recibo de pagamento deve ser fornecido quando solicitado.</t>
  </si>
  <si>
    <t>Todos os movimentos de viragem devem poder ser concluídos necessidsde de inversão de marcha (manobras de estacionamento e becos sem saída estão excluídos).</t>
  </si>
  <si>
    <t>Níveis de luz médios na área de estacionamento, medidos ao nível do piso, são no mínimo de 20 Lux</t>
  </si>
  <si>
    <t>Níveis de luz médios na área de estacionamento, medidos ao nível do piso, são no mínimo de 50 Lux</t>
  </si>
  <si>
    <t>Iluminação</t>
  </si>
  <si>
    <t>Lista de Itens (valores em Lux, consulte o manual do utilizador para a medição)</t>
  </si>
  <si>
    <t>Zona de entrada de veículos, ao nível do chão
•  Acima de 200 Lux = 5;
•  Entre 75 e 200 Lux: 0,04 pt por cada Lux acima de 75;
•  Abaixo de 75 Lux = 0;</t>
  </si>
  <si>
    <t>Zona de entrada de veículos, a 1 m de altura, perto da máquina de bilhetes
•  Acima de 200 Lux = 3;
•  Entre 100 e 200 Lux: 0,03 pt por cada Lux acima de 100;
•  Abaixo de 100 Lux = 0</t>
  </si>
  <si>
    <t>Zona de saída de veículos, a 1 m de altura perto da máquina de leitura de bilhetes:
•  Acima de 200 Lux = 3;
•  Entre 100 e 200 Lux: 0,03 pt por cada Lux acima de 100;
•  Abaixo de 100 Lux= 0;</t>
  </si>
  <si>
    <t>Junto às Máquinas de Pagamento, a 1 m de altura:
•  Acima de 200 Lux = 4;
•  Entre 100 e 200 Lux: 0,04 pt por cada Lux acima de 100;
•  Abaixo de 100 Lux= 0;
• Se não houver máquinas de pagamento, pontuação semelhamte à da saída. (introduza zero se for este o caso)</t>
  </si>
  <si>
    <t>Junto à Caixa Manual, à altura do balcão
•  Acima de 200 Lux = 4;
•  Entre 100 e 200 Lux: 0,04 pt por cada Lux acima de 100
•  Abaixo de 100 Lux = 0;
•  Se não houver caixa manual = 3 (introduza zero se for este o caso);</t>
  </si>
  <si>
    <t>No elevador, ao nível do chão:
•  Acima de 70 Lux = 4;
•  Entre 30 e 70 Lux: 0,1 pt por cada Lux acima de 30;
•  Abaixo de 30 Lux = 0;
•  Parque sem elevador = 3 (introduza zero se for este o caso)</t>
  </si>
  <si>
    <t>Escadarias e todas os outros acessos pedonais exclusivos, ao nível do chão:
•  Acima de 90 Lux = 3;
•  Entre 30 e 90 Lux: 0,05 pt por cada Lux acima de 30;
•  Abaixo de 30 Lux = 0;</t>
  </si>
  <si>
    <t>Níveis de luminosidade na área de estacionamento ao nível do piso: (por favor preencha grelha abaixo)
Nível de luz média da grelha:
•  Acima 100 Lux = 10;
•  Entre 20 e 100 Lux: 0,125 pt por cada Lux acima de 20;
•  Abaixo de 20 Lux = 0;</t>
  </si>
  <si>
    <t>Uniformidade da luminosidade na grelha, (desvio padrão)
• Inferior a 25% dos níveis médios de luminosidade = 10;
•  Entre 25% e 50% dos níveis médios de luminosidsde: 0,4 pt por cada ponto percentual abaixo de 50%;
•  Abaixo de 50% =  0</t>
  </si>
  <si>
    <t>Grelha Auxiliar para 2.8</t>
  </si>
  <si>
    <t>fim do espaço de estacionamento em/entre pontos de iluminação</t>
  </si>
  <si>
    <t>espaço de estacionamento no meio do caminho em/entre pontos de iluminação</t>
  </si>
  <si>
    <t>linha entre lugar de estacionamento e via de circulação, sob/entre pontos de iluminação</t>
  </si>
  <si>
    <t>centro de via de circulação sob/entre pontos de iluminação</t>
  </si>
  <si>
    <t>outra extremidade da calçada sob/entre pontos de iluminação</t>
  </si>
  <si>
    <t>Limite de altura do parque de estacionamento identificado na entrada</t>
  </si>
  <si>
    <t>Sinal correto na entrada</t>
  </si>
  <si>
    <t>Barreira de altura</t>
  </si>
  <si>
    <t>Lip de borracha para evitar danos</t>
  </si>
  <si>
    <t>Altura:
(Parque de estacionamento deve receber um ponto por cada 10 cm de altura acima de 1.90m, até um máximo de 2.20m)</t>
  </si>
  <si>
    <t>Sinais de trânsito para definir o uso limitado das instalações.
• Sinalização evidente = 3
• Sinalização incompleta = 2
• Sem sinalização = 0</t>
  </si>
  <si>
    <t>Informações sobre:</t>
  </si>
  <si>
    <t>Regras de utilização do parque de estacionamento:</t>
  </si>
  <si>
    <t>Horário de funcionamento:</t>
  </si>
  <si>
    <t>Tarifário:</t>
  </si>
  <si>
    <t>Legibilidade do sistema tarifário:</t>
  </si>
  <si>
    <t>Área da Entrada/saída</t>
  </si>
  <si>
    <t>Bilhete na máquina de entrada fácil de alcançar</t>
  </si>
  <si>
    <t>Validador de bilhete na máquina de saída fácil de alcançar</t>
  </si>
  <si>
    <t>Inclinação longitudinal nas máquinas de bilhetes</t>
  </si>
  <si>
    <t>Via de entrada:
• 0-2% (carro não se move sem travão) = 1
• 2-5% = 0
• Acima de 5% = -1</t>
  </si>
  <si>
    <t>Via de saída:
• 0-2% (carro não se move sem travão) = 1
• 2-5% = 0
• Acima de 5% = -1</t>
  </si>
  <si>
    <r>
      <t>Proteção para evitar danos na rodas os veículos:
(Sim = 2, Sem proteção = 0, S</t>
    </r>
    <r>
      <rPr>
        <sz val="11"/>
        <color indexed="8"/>
        <rFont val="Calibri"/>
        <family val="2"/>
      </rPr>
      <t>em proteção na área de entrada/saída</t>
    </r>
    <r>
      <rPr>
        <sz val="11"/>
        <color rgb="FF000000"/>
        <rFont val="Calibri"/>
        <family val="2"/>
        <charset val="204"/>
      </rPr>
      <t xml:space="preserve"> = 2)</t>
    </r>
  </si>
  <si>
    <t>Superfíce antiderrapante nas rampas de acesso/saída:
(Anti derrapante = 1, Escorregadio quando molhado = 0)</t>
  </si>
  <si>
    <t>Segurança dos Acessos</t>
  </si>
  <si>
    <t>Barreira</t>
  </si>
  <si>
    <t>Intercomunicador</t>
  </si>
  <si>
    <t>Leitor de Matrícula</t>
  </si>
  <si>
    <t>Portões de Abertura Rápida</t>
  </si>
  <si>
    <r>
      <rPr>
        <sz val="11"/>
        <color indexed="10"/>
        <rFont val="Calibri"/>
        <family val="2"/>
      </rPr>
      <t>Presença de Staff</t>
    </r>
    <r>
      <rPr>
        <sz val="11"/>
        <rFont val="Calibri"/>
        <family val="2"/>
        <charset val="204"/>
      </rPr>
      <t xml:space="preserve"> (Entrada ou saída)</t>
    </r>
  </si>
  <si>
    <t>Entrada/saída do edifício: largura entre elementos da estrutura (por faixa)
(&lt; 3 m =0, 3 – 3.3 m =1, &gt; 3.3 m = 2)</t>
  </si>
  <si>
    <r>
      <t xml:space="preserve">Saída: zona inclinação da rampa de saída termina pelo menos 5 metros </t>
    </r>
    <r>
      <rPr>
        <sz val="11"/>
        <color indexed="10"/>
        <rFont val="Calibri"/>
        <family val="2"/>
      </rPr>
      <t>antes de zona com tráfego (</t>
    </r>
    <r>
      <rPr>
        <sz val="11"/>
        <color rgb="FF000000"/>
        <rFont val="Calibri"/>
        <family val="2"/>
        <charset val="204"/>
      </rPr>
      <t>pedonal/ciclistas):</t>
    </r>
  </si>
  <si>
    <t>subtotal Entrada Carros/ Saída de Carros</t>
  </si>
  <si>
    <t>Área do Estacionamento</t>
  </si>
  <si>
    <t>Localização dos Pilares em, pelo menos, 85% dos lugares:
• não invadem a área de estacionamento = 8 
• no início do lugar = 0
• ao lado da porta do veículo = 0
• recuados, mas na área de estacionamento = 4</t>
  </si>
  <si>
    <t>Visibilidade (muitos/poucos cantos mortos, paredes no parque de estacionamento, etc.)
Bom=4, Médio=2 ou Mau=0</t>
  </si>
  <si>
    <t>Sinalização rodoviária:</t>
  </si>
  <si>
    <t>Os sinais de rânsito estão conforme o código da estrada?</t>
  </si>
  <si>
    <t xml:space="preserve">Sinalização de circulação: A sinalização é clara, completa e inequívoca? </t>
  </si>
  <si>
    <t>Completa ?</t>
  </si>
  <si>
    <t>Fácil de ver ?</t>
  </si>
  <si>
    <t>Inequívoca ?</t>
  </si>
  <si>
    <t xml:space="preserve">Sinalização de saída do parque de estacionamento: A sinalização é clara, completa e inequívoca? </t>
  </si>
  <si>
    <t>Marcação dos lugares de estacionamento</t>
  </si>
  <si>
    <t>Lugares de estacionamento estão claramente marcados?</t>
  </si>
  <si>
    <t>As marcações estendem-se até às paredes para ajudar os condutrores?</t>
  </si>
  <si>
    <t>As marcações no pavimento são:</t>
  </si>
  <si>
    <t>Completas ?</t>
  </si>
  <si>
    <t>Fáceis de ver ?</t>
  </si>
  <si>
    <t>Inequívocas ?</t>
  </si>
  <si>
    <t>Disponibilidade de lugares para pessoas com mobilidade condicionada anunciada na entrada do parque de estacionamento:</t>
  </si>
  <si>
    <t>Acessibilidade para pessoas com mobilidade condicionada?</t>
  </si>
  <si>
    <t>Lugares com mínimo de 3.5 m de largura ?</t>
  </si>
  <si>
    <t>Perto da saída pedonal ?</t>
  </si>
  <si>
    <t>Sinalização para pessoas com mobilidade condicionada?</t>
  </si>
  <si>
    <r>
      <t>Ângulo de estacionamento em 85% dos lugares:
(Ângulo 76-90°</t>
    </r>
    <r>
      <rPr>
        <sz val="6"/>
        <color indexed="8"/>
        <rFont val="Arial"/>
        <family val="2"/>
      </rPr>
      <t xml:space="preserve"> </t>
    </r>
    <r>
      <rPr>
        <sz val="10"/>
        <color indexed="8"/>
        <rFont val="Arial"/>
        <family val="2"/>
      </rPr>
      <t>= 0, Ângulo  45-75°</t>
    </r>
    <r>
      <rPr>
        <sz val="6"/>
        <color indexed="8"/>
        <rFont val="Arial"/>
        <family val="2"/>
      </rPr>
      <t xml:space="preserve"> </t>
    </r>
    <r>
      <rPr>
        <sz val="10"/>
        <color indexed="8"/>
        <rFont val="Arial"/>
        <family val="2"/>
      </rPr>
      <t>= 2)</t>
    </r>
  </si>
  <si>
    <r>
      <t xml:space="preserve">Largura dos lugares (85% dos lugares), A ou B:
A: Ângulo Estacionamento 76 - 90 graus
(2.25m = -5, 2.30m = 0, 2.35m = 2, 2.40m = 4, 2.45m = 6, 2.50m = 8) 
B: Ângulo Estacionamento 45-75 graus
(2.25m = -5, 2.30m = 1, 2.35m = 3, 2.40m = 5, 2.45m = 8)
</t>
    </r>
    <r>
      <rPr>
        <b/>
        <sz val="10"/>
        <color indexed="8"/>
        <rFont val="Arial"/>
        <family val="2"/>
      </rPr>
      <t xml:space="preserve">A largura de 2,25m aplica-se apenas para os parques de estacionamento renovados, novos parques de estacionamento devem ter no mínimo 2,30m </t>
    </r>
  </si>
  <si>
    <t>Medida total de uma ilha com um lugar de largura e dois lugares de profundidade de dois lugares, dependendo do ângulo de estacionamento e largura do lugar:
Largura do lugar: 2.50m / 2.45m / 2.40m / 2.35m / 2.30m
90° :           16.00 /  16.30 /  16.60 /  16.90 / 17.30
85° :           15.70 /  16.00 /  16.30 /  16.60 / 16.95
80° :           15.40 /  15.70 /  16.00 /  16.30 / 16.60
75° :           14.95 /  15.25 /  15.55 /  15.85 / 16.15
70° :           14.50 /  14.80 /  15.10 /  15.40 / 15.70
65° :           14.40 /  14.40 /  14.55 /  14.80 / 15.10
60° :           14.30 /  14.30 /  14.30 /  14.30 / 14.50
55° :           14.00 /  14.00 /  14.00 /  14.00 / 14.10
50° :           13.75 /  13.75 /  13.75 /  13.75 / 13.75
45° :           13.50 /  13.50 /  13.50 /  13.50 / 13.50
Se igual ou superior ao valor da tabela acima, 3 pontos.
Até 30 cm menos, 2 pontos
Até 60 cm menos,  1 ponto
Mais de 60 cm a menos: 0 pontos.</t>
  </si>
  <si>
    <t>Guias para evitar danos às rodas dos veículos
•  Sim = 2, Sem proteção = 0</t>
  </si>
  <si>
    <t>Rampas de Veículos</t>
  </si>
  <si>
    <t>É um parque de estacionamento de um único piso, sem rampas ou níveis de estacionamento inclinados?</t>
  </si>
  <si>
    <t>Superfície da rampa entre áreas de estacionamento (Antiderrapante 1, Liso 0, sem rampas 1)</t>
  </si>
  <si>
    <t>A inclinação longitudinal das rampas é (não utilizado para estacionamento)
•  &lt;10%=3, 10-15%=1, &gt;15%=0, sem rampas=3</t>
  </si>
  <si>
    <t>Largura da rampa, entre guias. Todas as rampas medidas no ponto mais estreito.</t>
  </si>
  <si>
    <t>As rampas curvas devem ser 1m de largura adicional para conseguir a mesma pontuação. As rampas são curvas?</t>
  </si>
  <si>
    <t>Curva de abordagem para rampas retas
•  &lt;7.5m=0, 7.5–9m=1, &gt;9m=2, sem rampas=2</t>
  </si>
  <si>
    <t>Acessos Pedonais</t>
  </si>
  <si>
    <t>Lista de Itens</t>
  </si>
  <si>
    <t>Acesso pedonal controlado por bilhete/cartão de passe quando parque de estacionamento aberto (Sim=1, Não=0)</t>
  </si>
  <si>
    <t>Orientação:</t>
  </si>
  <si>
    <t>no elevador:</t>
  </si>
  <si>
    <t>no hall de entrada do elevador:</t>
  </si>
  <si>
    <t>Botões de controle do elevador à altura da cadeira de rodas
•  Sim = 1, Outro = 0</t>
  </si>
  <si>
    <t>Largura (&lt;90 cm =0, &gt;=90 cm = 2)</t>
  </si>
  <si>
    <t>Os elevadores são a principal ligação vertical? (escadas apenas secundárias ou fuga)</t>
  </si>
  <si>
    <t>Vista limpa (Sim = 1, Não = 0, Irrelevante = 1)</t>
  </si>
  <si>
    <t>Escadas (incl. maior visibilidade dos degraus)</t>
  </si>
  <si>
    <t>Largura (&lt; 1.5 m = 0, &gt; 1.5m = 2)</t>
  </si>
  <si>
    <t>Corrimão (Não tem corrimão = 0, Um lado = 1, Dois lados = 2)</t>
  </si>
  <si>
    <t>Maior visibilidade dos degraus para pessoas com deficiência visual (Sim = 2, Não = 0)</t>
  </si>
  <si>
    <t>Antiderrapante à superfície em escadas: (Sim = 2, Não = 0)</t>
  </si>
  <si>
    <t>Equipamentos de Segurança</t>
  </si>
  <si>
    <t>Lista de Items</t>
  </si>
  <si>
    <t>CCTV com aviso na entrada = 3, Não tem CCTV = 0</t>
  </si>
  <si>
    <t>CCTV em:</t>
  </si>
  <si>
    <t>Máquina Pagamento: Sim =1, Não =0</t>
  </si>
  <si>
    <t>Hall do Elevador, todos os níveis: Sim =1, Não =0</t>
  </si>
  <si>
    <t>Caixa de escadas, todos os níveis: Sim =1, Não =0</t>
  </si>
  <si>
    <t>Entradas Pedonais: Sim =1, Não =0</t>
  </si>
  <si>
    <t>Maioria da Área de Estacionamento (65%):Sim =3, Não =0</t>
  </si>
  <si>
    <t>Staff contactável via:</t>
  </si>
  <si>
    <t>Intercomunicador na máquina de pagamento e/ou entradas controladas (24/7=3, Todas as horas de acesso, se não 24/7= 2, Part-time/não disponível = 0)</t>
  </si>
  <si>
    <t>Presença de pessoal do Staff fardado e patrulhamento do parque de estacionamento
(24/7 = 3, Durante Horário de acesso = 2, Após Horário de acesso = 1, Não = 0)</t>
  </si>
  <si>
    <t>Saída/entrada de veículos bloqueável: 
(Portão fechado/portão de enrolar depois de horas de acesso = 2, seguro: rápida abertura do portão durante o dia = 4, seguro: portão de abertura lenta durante o dia = 2, Não previsto = 0)</t>
  </si>
  <si>
    <t>Saída/entrada de caminhos pedonais (depois do horário de funcionamento).
(Porta/portão/portão de enrolar &lt;= 15cm abertura máxima = 2, mais de  15 cm = 0, não previsto = 0, Irrelevante (24 hours de abertura) = 2)</t>
  </si>
  <si>
    <t>Grelhas em aberturas externas e grades de segurança
(&lt;= 15 cm = 2, &gt; 15 cm ou sem proteção= 0, Irrelevante (sem aberturas externas) = 2)</t>
  </si>
  <si>
    <t>Identificação de lugares de estacionamento vagos</t>
  </si>
  <si>
    <t>Nível do piso de estacionamento (sim/bom = 2, não/mau = 0)</t>
  </si>
  <si>
    <t>Os pisos estão identificados de forma clara para os condutores? (Bom =3, Adequado =2, Pobre =1, Não =0)</t>
  </si>
  <si>
    <t>As sub-áreas dos pisos estão identificadas de forma clara para os condutores? (Bom =3, Adequado =2, Pobre =1, Não =0)</t>
  </si>
  <si>
    <t>As saídas de emergência e os caminhos de fuga estão claramente marcados
• A partir de todos os locais = 3
• maioria dos locais= 2
• alguns locais=1
• Sem identificação dos caminhos de fuga=0)</t>
  </si>
  <si>
    <t>Os nívies dos pisos estão marcados de forma clara?
(bom =3, adequado=2, pobre=1, nenhum =0. Parque com um único piso = 3)</t>
  </si>
  <si>
    <t>Existe sinalização adicional ou instruções para orientar os peões no piso de estacionamento
(bom =2, alguns =1, nenhum = 0)</t>
  </si>
  <si>
    <t>Os lugares de estacionamento estão individualmente numerados
(Numerados, incluindo identificação no chão =2, Apenas número =1, nada =0)</t>
  </si>
  <si>
    <t>Utilização de cores para localização
(Sim= 1, Não= 0)</t>
  </si>
  <si>
    <t>Somente sinais estáticos (Sim = 1, Não = 0)</t>
  </si>
  <si>
    <t>Adicionalmente sinalização dinâmica (Sim = 1, Não = 0)</t>
  </si>
  <si>
    <t>Sinalização iluminada na entrada do parque de estacionamento</t>
  </si>
  <si>
    <t>Sinal direcional (seta verde, cruz vermelha) (Sim = 1, Não = 0)</t>
  </si>
  <si>
    <t>Sinal completo/livre (Sim = 1, Não = 0)</t>
  </si>
  <si>
    <t>Sinalização na entrada pedonal (Sim = 1, Não = 0)</t>
  </si>
  <si>
    <t>Conforto e Diversos</t>
  </si>
  <si>
    <t>Placas informativas nas entradas/saídas pedonais:</t>
  </si>
  <si>
    <t>Horário de funcionamento normal/especial (sim = 1, não = 0)</t>
  </si>
  <si>
    <t>Tarifário legível e compreensível (sim = 1, não = 0)</t>
  </si>
  <si>
    <t>Opções de pagamento (pagamento na saída/pagamento na caixa de pagamento):</t>
  </si>
  <si>
    <t>Aceita moedas? (sim =1, não =0)</t>
  </si>
  <si>
    <t>Devolução de troco? (sim =1, não =0)</t>
  </si>
  <si>
    <t>Aceita notas?  (sim =1, não =0)</t>
  </si>
  <si>
    <t>Aceita cartões bancários?  (sim =1, não =0)</t>
  </si>
  <si>
    <t>Pagamento por cartão/telefone na saída? (sim =1, não =0)</t>
  </si>
  <si>
    <t>Identificação e pagamento por reconhecimento de matrícula? (sim =1, não =0)</t>
  </si>
  <si>
    <t>Aceita outros cartões: Quantos? (1 ponto por opção adicional até 3)</t>
  </si>
  <si>
    <t>Pagamento na receção com funcionário: (sim = 1, não = 0)</t>
  </si>
  <si>
    <t>É um Parque de Estacionamento sem barreiras?</t>
  </si>
  <si>
    <t>Número de pontos de Pagamento por Barreira controlada no parque de estacionamento:
(Um ponto de pagamento = 0, Mais do que um = 1, um em cada entrada pedonal, excluindo escadas de incêndio = 2, mais do que um em cada entrada pedonal = 3)</t>
  </si>
  <si>
    <r>
      <t xml:space="preserve">Número de pontos de Pagamento para </t>
    </r>
    <r>
      <rPr>
        <sz val="10"/>
        <color indexed="10"/>
        <rFont val="Arial"/>
        <family val="2"/>
      </rPr>
      <t>parques de estacionamento sem barreiras</t>
    </r>
    <r>
      <rPr>
        <sz val="10"/>
        <color indexed="8"/>
        <rFont val="Arial"/>
        <family val="2"/>
      </rPr>
      <t xml:space="preserve">
(Um = 0, &lt;1 para cada 50 lugares = 2,&gt; 1 para cada 50 lugares = 3)</t>
    </r>
  </si>
  <si>
    <t>WC para clientes:</t>
  </si>
  <si>
    <t>Existem? (sim= 2, não= 0)</t>
  </si>
  <si>
    <t>WC para deficientes? (sim=1, não= 0)</t>
  </si>
  <si>
    <t>unisexo = 0, masculino/feminino separados = 1</t>
  </si>
  <si>
    <t>pessoal de apoio: sim=1, não= 0</t>
  </si>
  <si>
    <t>Uso de cores/ embelezamento da obra</t>
  </si>
  <si>
    <t>Pilares coloridos =1, não/betão cinza = 0</t>
  </si>
  <si>
    <t>Paredes coloridas =1, não/betão cinza = 0</t>
  </si>
  <si>
    <t>Embelezamento extra</t>
  </si>
  <si>
    <t>Plantas: (Sim = 1, Não = 0)</t>
  </si>
  <si>
    <t>Outros: (Sim = 1, Não = 0)</t>
  </si>
  <si>
    <t>Cobertura da rede móvel (Sim = 2, Não = 0)</t>
  </si>
  <si>
    <t>Continuidade do sinal de rádio (Sim = 1, Não = 0)</t>
  </si>
  <si>
    <t>Música de fundo: sim = 2, Não = 0</t>
  </si>
  <si>
    <t>Energia e Ambiente</t>
  </si>
  <si>
    <t>Sistemas de iluminação de poupança de energia</t>
  </si>
  <si>
    <t>Compensação do fator de potência (Sim=1, Não=0)</t>
  </si>
  <si>
    <t>Outros Sistemas (Sim=1, Não=0)</t>
  </si>
  <si>
    <t>Iluminação variável com deteção de movimento, mantendo-se a qualidade (sim= 2, não= 0)</t>
  </si>
  <si>
    <t>Iluminação adaptável para compensação da luz do dia na área da entrada 
(sim= 2, não= 0)</t>
  </si>
  <si>
    <t>Painéis solares na cobertura ou outras iniciativas de energia verde (sim= 2, não= 0)</t>
  </si>
  <si>
    <t>Pontos para recarga de Veículos Elétricos: (Sim, mais que um= 2, Um ponto de reacrga=1, Nenhum=0)</t>
  </si>
  <si>
    <t>Outras iniciativas ambientais ou zero emissão
•  sim= 2, não= 0</t>
  </si>
  <si>
    <t>Penalizações</t>
  </si>
  <si>
    <t>Presença de Graffitis</t>
  </si>
  <si>
    <t>Caixa de Escadas (Sim= -2, Não= 0)</t>
  </si>
  <si>
    <t>Elevador (Sim= -2, Não= 0)</t>
  </si>
  <si>
    <t>WC (Sim= -2, Não= 0)</t>
  </si>
  <si>
    <t>Área de estacionamento (Sim= -2, Não= 0)</t>
  </si>
  <si>
    <t>Paredes exteriores (Sim= -2, Não= 0)</t>
  </si>
  <si>
    <t>Presença de sujidade</t>
  </si>
  <si>
    <t>Fora das entradas pedonais + carros (Sim= -2, Não= 0)</t>
  </si>
  <si>
    <t>Má qualidade do trabalho de pintura</t>
  </si>
  <si>
    <t>Caixa de escadas (Sim= -2, Não= 0)</t>
  </si>
  <si>
    <t>Sinalização horizontal de má qualidade (Sim= -2, Não= 0)</t>
  </si>
  <si>
    <t>Má qualidade/falta de manutenção (buracos, danos)</t>
  </si>
  <si>
    <t>Pisos (Sim= -2, Não= 0)</t>
  </si>
  <si>
    <t>Paredes (Sim= -2, Não= 0)</t>
  </si>
  <si>
    <t>Evidência de água parada (Sim= -2, Não= 0)</t>
  </si>
  <si>
    <t>Evidência de maus cheiros</t>
  </si>
  <si>
    <t>Elevadores (Sim= -2, Não= 0)</t>
  </si>
  <si>
    <t>Plataforma de estacionamento (Sim= -2, Não= 0)</t>
  </si>
  <si>
    <t>Mais de 15% dos lugares de estacionamento em becos sem saída sem indicação de ocupação. (Sim= -5, Não=0)</t>
  </si>
  <si>
    <t>Vários pontos de crítica (para explicar!)
[Por exemplo som oco, pneus a ranger, visitantes indesejados, etc.] até -10</t>
  </si>
  <si>
    <t>Bonificações</t>
  </si>
  <si>
    <t>Área especial para motociclos (Sim= 1, Não= 0)</t>
  </si>
  <si>
    <t>Cacifos para uso dos clientes (Sim= 1, Não= 0)</t>
  </si>
  <si>
    <t>Outras ajudas (Sim= 1, Não= 0)</t>
  </si>
  <si>
    <t>Aluguer de bicicletas (Sim= 1, Não= 0)</t>
  </si>
  <si>
    <t>Outros formas de assistência ao condutor (Sim= 1, Não= 0)</t>
  </si>
  <si>
    <t>Desfibrilador (Sim= 1, Não= 0)</t>
  </si>
  <si>
    <t>Equipa treinada de primeiros socorros (Sim= 1, Não= 0)</t>
  </si>
  <si>
    <t>Dados de tráfego em tempo real (Sim= 1, Não= 0)</t>
  </si>
  <si>
    <t>Outras informações em tempo real acessível (por exemplo, eventos locais) (Sim= 1, Não= 0)</t>
  </si>
  <si>
    <t>Medidas para evitar filas de trânsito nas horas de ponta (por exemplo. utilização de um canal alternativo bidirecional de entrada/saída) - (Sim= 3, Não= 0)</t>
  </si>
  <si>
    <t>Balcão de atendimento ao cliente (Sim= 1, Não= 0)</t>
  </si>
  <si>
    <t>Escadas rolantes e/ou passadeiras rolantes
(De/para todos níveis =5, De/para alguns níveis =3, Não existem escadas rolantes ou passadeiras rolantes = 0)</t>
  </si>
  <si>
    <t>Localização de carros estacionados por bilhete ou matrícula
(Sim= 1, Não= 0)</t>
  </si>
  <si>
    <t>Outros pontos positivos, por exemplo, serviços extras, funcionários simpáticos, paredes/piso de azulejo, bom ajuste do parque de estacionamento na paisagem urbana etc até dez pontos de bônus adicionais. Para ser explicitamente identificado.</t>
  </si>
  <si>
    <t>Raio de curvatura da rampa (raio externo)
•  até 9m=0, 9–10 m=1, &gt;10m=2, sem rampas=2
Nas vias com rampas duplas esta medida refere-se à faixa interior.</t>
  </si>
  <si>
    <t>Inclinação das rampas de estacionamento.
•  &lt;5%=3, 5-7 =1, &gt;7%=0, sem inclinação=3</t>
  </si>
  <si>
    <t>Pé direito nas zonas pedonais  - excluindo portas
• &lt;2.00m = 0
• 2.00m – 2.10m = 1
• 2.10m – 2.20m = 2
• &gt; 2.20m = 4</t>
  </si>
  <si>
    <t>As portas das entradas para peões são fáceis de usar?
(Sim, automática ou aberta = 4, Fácil de abrir = 2, Não = 0)</t>
  </si>
  <si>
    <t>Via pedonal separada (pe, passeios, passadeiras ou faixas coloridas) (sim = 2, não = 0)</t>
  </si>
  <si>
    <t>Plano da cidade numa localização central do parque de estacionamento:
(Em cada saída pedonal = 2, Uma localização = 1, Não = 0)</t>
  </si>
  <si>
    <t>Nas saídas de peões em torno do estacionamento, para os principais pontos de atração?  (Sim=1, Não=0):</t>
  </si>
  <si>
    <t>Ao redor do parque de estacionamento para as entradas de peões? (Sim=1, Não=0):</t>
  </si>
  <si>
    <t>É um parque de estacionamento com um único piso térreo? (mas não de superficie aberta)</t>
  </si>
  <si>
    <t>Existem elevadores até ao nível da rua?</t>
  </si>
  <si>
    <t>Número de Elevadores que servem o nível da rua:
(1 elevador = 1, + 2 elevadores = 5)</t>
  </si>
  <si>
    <t>Capacidade dos elevadores:
(Mais de 8 pessoas = 3, 4-8 pessoas = 1, menos que 4 = 0)</t>
  </si>
  <si>
    <t>Visibilidade desde o elevador para o hall ou para a área de estacionamento:
(nenhuma visibilidade do elevador = 0, portas de vidros/paredes = 3, sem elevador = 0)</t>
  </si>
  <si>
    <t>Indicação do Piso ou Andar:</t>
  </si>
  <si>
    <t xml:space="preserve">As portas do elevador dão acesso direto à área de estacionamento </t>
  </si>
  <si>
    <t>Portas de emergência estão abertas? (Sim=2, Não= 0)</t>
  </si>
  <si>
    <t>Visibilidade (Porta ou Muro envidraçados = 3, Sem visibilidade = 0)</t>
  </si>
  <si>
    <t>Caixas de Escadas (visibilidade e orientação)</t>
  </si>
  <si>
    <t>Indicação do piso ou andar (Sim = 1, Não = 0, Irrelevante = 1)</t>
  </si>
  <si>
    <t>Aberturas externas nas Caixas de Escadas
(janela / grelha para fora do parque de estacionamento =2, nenhum =0)</t>
  </si>
  <si>
    <t>Presença de Staff (no local ou remoto)
•  Sim = 5, Não = 0</t>
  </si>
  <si>
    <t>Entrada de Veículos: Sim =1, Não =0</t>
  </si>
  <si>
    <t>Saída de Veículos: Sim =1, Não =0</t>
  </si>
  <si>
    <t>Entradas e Saídas de Veículos</t>
  </si>
  <si>
    <t>Rampas: Sim = 1, Não = 0</t>
  </si>
  <si>
    <t>Sistema de chamada de emergência na área de estacionamento (24/7=3, Todas as horas de acesso, se não 24/7= 2, Part-time/não disponível = 0)</t>
  </si>
  <si>
    <t>Por fila de estacionamento (sim/bom = 2 = 1, não/mau = 0)</t>
  </si>
  <si>
    <t>Lugar a Lugar (sim/bom = 2, não/mau = 0)</t>
  </si>
  <si>
    <t>Sinalética para veículos</t>
  </si>
  <si>
    <t>Sinalética</t>
  </si>
  <si>
    <t>Há sinalização a indicar a entrada do parque de estacionamento nas estradas circundantes ao mesmo?</t>
  </si>
  <si>
    <t>Termos e Condições do Operador (sim = 1, não = 0)</t>
  </si>
  <si>
    <t>Pagamento por telemóvel? (sim =1, não =0)</t>
  </si>
  <si>
    <t>Obras de arte: (Sim = 2, Não = 0)</t>
  </si>
  <si>
    <r>
      <t xml:space="preserve">Música diferenciada para facilitar a orientação no parque de estacionamento :  </t>
    </r>
    <r>
      <rPr>
        <sz val="10"/>
        <rFont val="Arial"/>
        <family val="2"/>
      </rPr>
      <t>sim =1, Não = 0</t>
    </r>
  </si>
  <si>
    <t>Iluminação adaptável para condições de luz ambiente no piso de estacionamento com luz do dia
(sim= 2, não= 0, Irrelevante (abaixo do solo) =2)</t>
  </si>
  <si>
    <t>Tratamento especial de água residuais:
•  sim= 2, não= 0</t>
  </si>
  <si>
    <t>Separação de água potável / água de limpeza, recuperação de águas pluviais
•  sim= 2, não= 0</t>
  </si>
  <si>
    <t>Sistema de Partilha de Veículos ou iniciativas semelhantes
•  sim= 2, não= 0</t>
  </si>
  <si>
    <t>Penalização para Condição Obrigatória 1.4</t>
  </si>
  <si>
    <t>Extras no parque de estacionamento</t>
  </si>
  <si>
    <t>Máquinas de Vending (Sim= 1, Não= 0)</t>
  </si>
  <si>
    <t>Possibilidade de escapatória antes da barreira de altura ou sinal completo para evitar inversões (Sim= 3, Não= 0)</t>
  </si>
  <si>
    <t>Manhã</t>
  </si>
  <si>
    <t>Noite</t>
  </si>
  <si>
    <t>Sol</t>
  </si>
  <si>
    <t>Nublado</t>
  </si>
  <si>
    <t>Chuva</t>
  </si>
  <si>
    <t>Escuro</t>
  </si>
  <si>
    <t>Cerca de 50%</t>
  </si>
  <si>
    <t>Falha</t>
  </si>
  <si>
    <t>Sim</t>
  </si>
  <si>
    <t>Não</t>
  </si>
  <si>
    <t>Irrelevante</t>
  </si>
  <si>
    <t>Sinalização incompleta</t>
  </si>
  <si>
    <t>Sem sinalização</t>
  </si>
  <si>
    <t>Acima de 5%</t>
  </si>
  <si>
    <t>Sem proteção</t>
  </si>
  <si>
    <t>Anti deslizamento</t>
  </si>
  <si>
    <t>Escorregadio quando molhado</t>
  </si>
  <si>
    <t>Pilar não invade a área de estacionamento</t>
  </si>
  <si>
    <t>Pilar no início do lugar</t>
  </si>
  <si>
    <t>Pilar ao lado da porta do veículo</t>
  </si>
  <si>
    <t>Pilar recuado, mas invade a área de estacionamento</t>
  </si>
  <si>
    <t>Bom</t>
  </si>
  <si>
    <t>Médio</t>
  </si>
  <si>
    <t>Mau</t>
  </si>
  <si>
    <t>Ângulo 76°-90°</t>
  </si>
  <si>
    <t>Ângulo  45°-75°</t>
  </si>
  <si>
    <t>acima de 2.50 m</t>
  </si>
  <si>
    <t>Em conformidade com a tabela</t>
  </si>
  <si>
    <t>Até 30 cm a menos</t>
  </si>
  <si>
    <t>Até 60 cm a menos</t>
  </si>
  <si>
    <t>Mais de 60 cm a menos</t>
  </si>
  <si>
    <t>Antiderrapante</t>
  </si>
  <si>
    <t>Suave</t>
  </si>
  <si>
    <t>Sem rampas</t>
  </si>
  <si>
    <t>Sim (automático ou aberta)</t>
  </si>
  <si>
    <t>Fácil de abrir</t>
  </si>
  <si>
    <t>Cada saída pedonal</t>
  </si>
  <si>
    <t>Uma localização</t>
  </si>
  <si>
    <t>Um elevador</t>
  </si>
  <si>
    <t>Dois ou mais elevadores</t>
  </si>
  <si>
    <t>Mais que 8 pessoas</t>
  </si>
  <si>
    <t>4 a 8 pessoas</t>
  </si>
  <si>
    <t>Menos que 4 pessoas</t>
  </si>
  <si>
    <t>nenhuma visibilidade do elevador</t>
  </si>
  <si>
    <t>portas de vidros/paredes</t>
  </si>
  <si>
    <t>sem elevador</t>
  </si>
  <si>
    <t>Porta de vidro/parede</t>
  </si>
  <si>
    <t>Sem vidro</t>
  </si>
  <si>
    <t>Não tem corrimão</t>
  </si>
  <si>
    <t>Um lado</t>
  </si>
  <si>
    <t>Dois lados</t>
  </si>
  <si>
    <t>janela/grelhas</t>
  </si>
  <si>
    <t>Nenhum</t>
  </si>
  <si>
    <t>Todas as horas de acesso, se não 24*7</t>
  </si>
  <si>
    <t>Tempo parcial/não disponível</t>
  </si>
  <si>
    <t>Durante horário de funcionamento</t>
  </si>
  <si>
    <t>Fora do horário de funcionamento</t>
  </si>
  <si>
    <t>Portão/porta de enrolar fechados depois do horário de funcionamento</t>
  </si>
  <si>
    <t>Protegido : rápida abertura do portão durante o dia</t>
  </si>
  <si>
    <t>Protegido : portão de abertura lento durante o dia</t>
  </si>
  <si>
    <t>Não previsto</t>
  </si>
  <si>
    <t>Abertura Máxima da Porta/portão/porta de enrolar &lt;= 15cm</t>
  </si>
  <si>
    <t>Abertura Máxima da Porta/portão/porta de enrolar &gt; 15cm</t>
  </si>
  <si>
    <t>não previsto</t>
  </si>
  <si>
    <t>Irrelevante (24 horas aberto)</t>
  </si>
  <si>
    <t>&gt; 15 cm ou nenhuma proteção</t>
  </si>
  <si>
    <t>Irrelevante (sem aberturas externas)</t>
  </si>
  <si>
    <t>Sim/Bom</t>
  </si>
  <si>
    <t>Não/Mau</t>
  </si>
  <si>
    <t>Adequado</t>
  </si>
  <si>
    <t>Pobre</t>
  </si>
  <si>
    <t>A partir de todos os locais</t>
  </si>
  <si>
    <t>A partir de maioria dos locais</t>
  </si>
  <si>
    <t>A partir de alguns locais</t>
  </si>
  <si>
    <t>Não existe identificação dos caminhos de fuga</t>
  </si>
  <si>
    <t>Parque com um único piso</t>
  </si>
  <si>
    <t>Alguns</t>
  </si>
  <si>
    <t>Numerados, incluindo identificação no chão</t>
  </si>
  <si>
    <t>Só números</t>
  </si>
  <si>
    <t>Uma estação de pagamento</t>
  </si>
  <si>
    <t>Mais que uma</t>
  </si>
  <si>
    <t>Um em cada entrada pedonal</t>
  </si>
  <si>
    <t>Mais que um em cada entrada pedonal</t>
  </si>
  <si>
    <t>Um</t>
  </si>
  <si>
    <t>&lt; 1 para cada 50 lugares</t>
  </si>
  <si>
    <t>&gt; 1 para cada 50 lugares</t>
  </si>
  <si>
    <t>Unisexo</t>
  </si>
  <si>
    <t>Masculino/Feminino Separado</t>
  </si>
  <si>
    <t>Pilares coloridos</t>
  </si>
  <si>
    <t>Não/Betão cinzento</t>
  </si>
  <si>
    <t>Paredes coloridas</t>
  </si>
  <si>
    <t>Mais do que um ponto de recarga</t>
  </si>
  <si>
    <t>Um ponto de recarga</t>
  </si>
  <si>
    <t>Para/de todos os níveis</t>
  </si>
  <si>
    <t>Para/ de alguns níveis</t>
  </si>
  <si>
    <t>Não há escadas rolantes ou passadeiras rolantes</t>
  </si>
  <si>
    <t xml:space="preserve">          Sem rampas</t>
  </si>
  <si>
    <t>subterrâneo</t>
  </si>
  <si>
    <t>pisos de estacionamento em rampa</t>
  </si>
  <si>
    <t>outro</t>
  </si>
  <si>
    <t>barreira / controle de portão</t>
  </si>
  <si>
    <t>Sinalização clara</t>
  </si>
  <si>
    <t>Não há lancil junto às entrada/saída</t>
  </si>
  <si>
    <t>Silo fechado sem luz natural</t>
  </si>
  <si>
    <t>Silo aberto, com luz natural</t>
  </si>
  <si>
    <t>Semi-pisos</t>
  </si>
  <si>
    <t>pisos com helicoidais ou rampas retas</t>
  </si>
  <si>
    <t>Controle por parquímetro</t>
  </si>
  <si>
    <t>Data</t>
  </si>
  <si>
    <t>Língua</t>
  </si>
  <si>
    <t>Morada</t>
  </si>
  <si>
    <t>Localidade</t>
  </si>
  <si>
    <t>Número de Lugares</t>
  </si>
  <si>
    <t>E-mail</t>
  </si>
  <si>
    <t>Telefone</t>
  </si>
  <si>
    <t>Verificado por</t>
  </si>
  <si>
    <t>Condições de Avaliação</t>
  </si>
  <si>
    <t>Condições Meteorológicas</t>
  </si>
  <si>
    <t>Taxa de ocupação</t>
  </si>
  <si>
    <t>Comentários</t>
  </si>
  <si>
    <t>Número de Ok:</t>
  </si>
  <si>
    <t>Número de Falhas:</t>
  </si>
  <si>
    <t>Não avaliado:</t>
  </si>
  <si>
    <t>Total Items + Subitems</t>
  </si>
  <si>
    <t>Itens Completos</t>
  </si>
  <si>
    <t>Não medido</t>
  </si>
  <si>
    <t>Pontuação atribuída</t>
  </si>
  <si>
    <t>Pontuação Máxima</t>
  </si>
  <si>
    <t>Percentagem</t>
  </si>
  <si>
    <t>Avaliação Global</t>
  </si>
  <si>
    <t>Categoria</t>
  </si>
  <si>
    <t>Número de itens</t>
  </si>
  <si>
    <t>Número de Oks</t>
  </si>
  <si>
    <t>Número de Falhas</t>
  </si>
  <si>
    <t>Para ser concluído</t>
  </si>
  <si>
    <t>% Obtida</t>
  </si>
  <si>
    <t>Categoria de Pontos</t>
  </si>
  <si>
    <t>Pontos Obtidos</t>
  </si>
  <si>
    <t>% Completa:</t>
  </si>
  <si>
    <t>Subtotal</t>
  </si>
  <si>
    <t>Valor Medido</t>
  </si>
  <si>
    <t>Contribuição para a Pontuação Final</t>
  </si>
  <si>
    <t>Observações</t>
  </si>
  <si>
    <t>Isto irá apagar todos os dados na Folha de Trabalho ESPA. Tem a certeza?</t>
  </si>
  <si>
    <t>Senha de entrada</t>
  </si>
  <si>
    <t>Password incorreta</t>
  </si>
  <si>
    <t>Pessoa a contatar</t>
  </si>
  <si>
    <t>Periodo do dia</t>
  </si>
  <si>
    <t>Aprovado</t>
  </si>
  <si>
    <t>Reprovado</t>
  </si>
  <si>
    <t>Valor da Categoria</t>
  </si>
  <si>
    <t>Mínimo requerido para Prémio ESPA</t>
  </si>
  <si>
    <t>Patamares Mínimos em Todas as Categorias</t>
  </si>
  <si>
    <t>Prémio ESPA</t>
  </si>
  <si>
    <t>Contribuição Máxima para Pontuação Final</t>
  </si>
  <si>
    <t xml:space="preserve">Introduziu uma password incorreta. A Folha de Trabalho ESPA não pode ser desprotegida. </t>
  </si>
  <si>
    <t>Por favor introduza a password para desproteger a Folha de Trabalho ESPA</t>
  </si>
  <si>
    <t>This will print 15 pages on your active printer. Are you sure?</t>
  </si>
  <si>
    <t>Se imprimirán 15 páginas en su inmpresora activa. Desea continuar?</t>
  </si>
  <si>
    <t>Irá imprimir 15 páginas na sua impressora ativa. Tem a certeza?</t>
  </si>
  <si>
    <t>Aviso</t>
  </si>
  <si>
    <t>Alterar o idioma apaga todas as respostas anteriores. Deseja continuar?</t>
  </si>
  <si>
    <t>Prémio ESPA Dourado</t>
  </si>
  <si>
    <t>Condições Obrigatórias para ESPA Dourado</t>
  </si>
  <si>
    <t>Avaliação Global - Prémio Dourado</t>
  </si>
  <si>
    <t>A folha de cálculo ESPA utiliza Macros. Por favor feche e volte a abrir o ficheiro com a opção Macros activada.</t>
  </si>
  <si>
    <t>Nome do Parque</t>
  </si>
  <si>
    <t>Structure</t>
  </si>
  <si>
    <t>Año de Construción</t>
  </si>
  <si>
    <t>Ano de Construção</t>
  </si>
  <si>
    <t>Estrutura</t>
  </si>
  <si>
    <t>Tipo</t>
  </si>
  <si>
    <t>Access Control System</t>
  </si>
  <si>
    <t>Sistema de Controle de Acessos</t>
  </si>
  <si>
    <t>Número de Elevadores</t>
  </si>
  <si>
    <t>Número de Pisos</t>
  </si>
  <si>
    <t>Translation Sheet</t>
  </si>
  <si>
    <t>Caracteristicas Principais</t>
  </si>
  <si>
    <t>TAB: Languages</t>
  </si>
  <si>
    <t>TAB: Options</t>
  </si>
  <si>
    <t>TAB: Tags</t>
  </si>
  <si>
    <t>Are Road Markings:</t>
  </si>
  <si>
    <t>Parking angle at 85 % of bays:
(Angle 76-90° = 0, Angle  45-75° = 2)</t>
  </si>
  <si>
    <t>Width of bays (85 % of bays), A or B: 
A: Parking angle 76 – 90 degrees
(2.25m = -5, 2.30m = 0, 2.35m = 2, 2.40m = 4, 2.45m = 6, 2.50m = 8) 
B: Parking angle 45-75 degrees
(2.25m = -5, 2.30m = 1, 2.35m = 3, 2.40m = 5, 2.45m = 8)
Width of 2.25m only applies for renovated car parks, new car parks must be minimum 2.30m</t>
  </si>
  <si>
    <t>Please choose width. &lt; 3m=0, 3-3.3m=1, &gt;3.3m=2, no ramps=2</t>
  </si>
  <si>
    <t>Payment options (pay at exit/pay at pay station):</t>
  </si>
  <si>
    <t>Use of colours/ embellishing works</t>
  </si>
  <si>
    <t>Extra embellishment</t>
  </si>
  <si>
    <t>Zero</t>
  </si>
  <si>
    <t>Two</t>
  </si>
  <si>
    <t>Three or More</t>
  </si>
  <si>
    <t>Dois</t>
  </si>
  <si>
    <t>Três ou Mais</t>
  </si>
  <si>
    <t>Cero</t>
  </si>
  <si>
    <t>Un</t>
  </si>
  <si>
    <t>Dos</t>
  </si>
  <si>
    <t>Tres o más</t>
  </si>
  <si>
    <t>Zéro</t>
  </si>
  <si>
    <t>Deux</t>
  </si>
  <si>
    <t>Trois ou plus</t>
  </si>
  <si>
    <t>nul</t>
  </si>
  <si>
    <t>een</t>
  </si>
  <si>
    <t>twee</t>
  </si>
  <si>
    <t>drie of meer</t>
  </si>
  <si>
    <t>drei oder mehr</t>
  </si>
  <si>
    <t>null</t>
  </si>
  <si>
    <t>ein</t>
  </si>
  <si>
    <t>zewi</t>
  </si>
  <si>
    <t>Breite &lt; 3m=0, 3-3.3m=1, &gt;3.3m=2, keine Rampen=2</t>
  </si>
  <si>
    <t>Dit zal alle bestaande data in het spreadsheet verwijderen. Wilt U dat?</t>
  </si>
  <si>
    <t>U heeft een ongeldig wachtwoord ingevoerd, beveiliging kan niet worden opgeheven</t>
  </si>
  <si>
    <t>Voer Uw wachtwoord in om de beveiliging van het spreadsheet op te heffen</t>
  </si>
  <si>
    <t>Invoer wachtwoord</t>
  </si>
  <si>
    <t>Onjuist wachtwoord</t>
  </si>
  <si>
    <t xml:space="preserve">Let op! </t>
  </si>
  <si>
    <t>Wijziging van de taal zal alle reeds gegeven antwoorden verwijderen. Wilt U doorgaan?</t>
  </si>
  <si>
    <t>Verplichte minimumeisen voor gold award</t>
  </si>
  <si>
    <t>Het ESPA werkblad gebruikt makro's, sluit het bestand en heropen met "makro's mogelijk"</t>
  </si>
  <si>
    <t>Bouwjaar</t>
  </si>
  <si>
    <t>Gebouw</t>
  </si>
  <si>
    <t>Toegangscontrole</t>
  </si>
  <si>
    <t>Aantal liften</t>
  </si>
  <si>
    <t>Aantal verdiepingen</t>
  </si>
  <si>
    <t>Hoofdkenmerken van de garage</t>
  </si>
  <si>
    <t>bovengronds, open met daglicht</t>
  </si>
  <si>
    <t>bovengronds, geen daglicht toetreding</t>
  </si>
  <si>
    <t>ondergronds</t>
  </si>
  <si>
    <t>hellende parkeervloeren</t>
  </si>
  <si>
    <t>overig</t>
  </si>
  <si>
    <t>slagboom of afsluitpoort</t>
  </si>
  <si>
    <t>ticketautomaten</t>
  </si>
  <si>
    <t xml:space="preserve">Penalty voor verplichte minimum eis 1.4 is van toepassing </t>
  </si>
  <si>
    <t>gemiddeld lichtniveau op vloerhoogte is minimaal 20 Lux</t>
  </si>
  <si>
    <t>gemiddeld lichtniveau op vloerhoogte is minimaal 50 Lux</t>
  </si>
  <si>
    <t>Comfort and Miscellaneous</t>
  </si>
  <si>
    <t>The ESPA Worksheet uses Macros. Please enable content or close and reopen with Macros Enabled</t>
  </si>
  <si>
    <t>Text</t>
  </si>
  <si>
    <t>Tags</t>
  </si>
  <si>
    <t>Options</t>
  </si>
  <si>
    <t>from English to:</t>
  </si>
  <si>
    <t>Bij betaalautomaat; op 1 m hoogte
• &gt; 200 Lux =4; 
• 100-200  Lux = 0,04punt per Lux boven 100;
• &lt; 100 Lux= 0;
• Indien geen betaalautomaten: als bij uitrit (0 invullen)</t>
  </si>
  <si>
    <t>In lift; op vloerhoogte
• &gt; 70 Lux = 4; 
• 30-70  Lux = 0,1punt per Lux boven 30;
• &lt; 30 Lux = 0; 
• Eénlaags garage zonder lift = 3 (0 invullen)</t>
  </si>
  <si>
    <t>Lichtiniveau op vloerhoogte, gemiddelde van de metingen volgens stramien (zie onder)
• &gt; 100 Lux= 10; 
• 20-100  Lux = 0,125punt per Lux boven 20;
• &lt; 20 Lux= 0</t>
  </si>
  <si>
    <t>Breedte in/uitrit tussen de constructie op spiegelhoogte, kolom, kozijn, poortconstructie o.i.d. (per strook)
• &lt; 3 m =0,  3 – 3.3 m =1,  &gt; 3.3 m = 2</t>
  </si>
  <si>
    <t>Uitrithelling eindigt minstens vijf meter voor kruisend verkeer (fietsers, voetgangers):</t>
  </si>
  <si>
    <t>Parkeervloer</t>
  </si>
  <si>
    <t>Vakbreedte (85 % van de vakken) 
A: Parkeerhoek 76 – 90 graden
• breedte 2.25m = -5, 2.30m = 0, 2.35m = 2, 2.40m = 4, 2.45m = 6, 2.50m = 8.
B: Parkeerhoek  45-75 graden
• breedte 2.25m = -5, 2.30m = 1, 2.35m = 3, 2.40m = 5, 2.45m = 8
Breedte 2.25m alleen toelaatbaar bij gerenoveerde garages, bij nieuwe garages geldt de minimum vakbreedte 2.30m</t>
  </si>
  <si>
    <t>Een garage met één parkeerlaag zonder hellingbanen of hellende parkeervloer krijgt standaard 10 punten. Is dit het geval?</t>
  </si>
  <si>
    <t>Kies breedte van de hellingbaan: &lt; 3m=0, 3-3.3m=1, &gt;3.3m=2</t>
  </si>
  <si>
    <t xml:space="preserve">Een garage met één parkeerlaag op straatniveau zonder trappen of liften? </t>
  </si>
  <si>
    <t>Capaciteit van de liften
• &gt; 8 personen = 3;  4-8 personen = 1; &lt;4 personen  = 0</t>
  </si>
  <si>
    <t>Dit commando leidt tot 15 afdrukpagina's op de actieve printer. Wilt U dat?</t>
  </si>
  <si>
    <t>Algemene waardering, gold award</t>
  </si>
  <si>
    <t>Kolom staat compleet buiten het parkeervak</t>
  </si>
  <si>
    <t>Kolom aan het eind van het parkeervak, maar beinvloedt het parkeren</t>
  </si>
  <si>
    <t>vlakke vloer met spiraal of rechte hellingbanen</t>
  </si>
  <si>
    <t>Baujahr</t>
  </si>
  <si>
    <t>Bauart</t>
  </si>
  <si>
    <t>Typ</t>
  </si>
  <si>
    <t>Zutrittskontrolle</t>
  </si>
  <si>
    <t>Anzahl Fahrstühle</t>
  </si>
  <si>
    <t>Anzahl Ebenen</t>
  </si>
  <si>
    <t>Stammdaten Einrichtung</t>
  </si>
  <si>
    <t>Meer dan gemiddeld één per voetgangerstoegang</t>
  </si>
  <si>
    <t>Gelijkmatigheid van verlichtingsniveau in  stramien als berekende standaard deviatie: 
• &lt; 25% van het gemiddelde = 10; 
• 25%-50% = 0,4 punt per % onder 50%;
• &gt; 50% = 0;</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</si>
</sst>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
    <numFmt numFmtId="165" formatCode="&quot;Minimum : &quot;\ 0"/>
    <numFmt numFmtId="166" formatCode="0.00\ &quot;m&quot;"/>
    <numFmt numFmtId="167" formatCode="0\ &quot;Lux&quot;"/>
    <numFmt numFmtId="168" formatCode="0.0\ &quot;m&quot;"/>
    <numFmt numFmtId="169" formatCode="[Red]\ &quot;Incompleted&quot;;;[Green]\ &quot;Completed&quot;"/>
    <numFmt numFmtId="170" formatCode="0.0%"/>
    <numFmt numFmtId="171" formatCode="0.000"/>
    <numFmt numFmtId="172" formatCode="0;;"/>
    <numFmt numFmtId="173" formatCode="0\ &quot;Lux&quot;;;0"/>
    <numFmt numFmtId="174" formatCode="0\ &quot;Lux&quot;;;"/>
  </numFmts>
  <fonts count="58">
    <font>
      <sz val="11"/>
      <color rgb="FF000000"/>
      <name val="Calibri"/>
      <family val="2"/>
      <charset val="204"/>
    </font>
    <font>
      <b/>
      <sz val="11"/>
      <color rgb="FF000000"/>
      <name val="Arial"/>
      <family val="2"/>
    </font>
    <font>
      <sz val="11"/>
      <color rgb="FF000000"/>
      <name val="Arial"/>
      <family val="2"/>
    </font>
    <font>
      <sz val="9"/>
      <color rgb="FF000000"/>
      <name val="Arial"/>
      <family val="2"/>
    </font>
    <font>
      <sz val="10"/>
      <color rgb="FF000000"/>
      <name val="Arial"/>
      <family val="2"/>
    </font>
    <font>
      <sz val="10"/>
      <color rgb="FF000000"/>
      <name val="Times New Roman"/>
      <family val="1"/>
    </font>
    <font>
      <b/>
      <i/>
      <sz val="11"/>
      <color rgb="FF000000"/>
      <name val="Arial"/>
      <family val="2"/>
    </font>
    <font>
      <i/>
      <sz val="11"/>
      <color rgb="FF000000"/>
      <name val="Arial"/>
      <family val="2"/>
    </font>
    <font>
      <sz val="6"/>
      <color rgb="FF000000"/>
      <name val="Arial"/>
      <family val="2"/>
    </font>
    <font>
      <b/>
      <sz val="10"/>
      <color rgb="FF000000"/>
      <name val="Arial"/>
      <family val="2"/>
    </font>
    <font>
      <u/>
      <sz val="11"/>
      <color theme="10"/>
      <name val="Calibri"/>
      <family val="2"/>
      <charset val="204"/>
    </font>
    <font>
      <u/>
      <sz val="11"/>
      <color theme="11"/>
      <name val="Calibri"/>
      <family val="2"/>
      <charset val="204"/>
    </font>
    <font>
      <sz val="12"/>
      <color rgb="FF000000"/>
      <name val="Arial"/>
      <family val="2"/>
    </font>
    <font>
      <b/>
      <sz val="18"/>
      <color rgb="FF000000"/>
      <name val="Arial"/>
      <family val="2"/>
    </font>
    <font>
      <b/>
      <sz val="16"/>
      <color rgb="FF000000"/>
      <name val="Arial"/>
      <family val="2"/>
    </font>
    <font>
      <sz val="11"/>
      <color rgb="FF000000"/>
      <name val="Calibri"/>
      <family val="2"/>
      <charset val="204"/>
    </font>
    <font>
      <sz val="8"/>
      <color rgb="FF000000"/>
      <name val="Arial"/>
      <family val="2"/>
    </font>
    <font>
      <sz val="16"/>
      <color rgb="FF000000"/>
      <name val="Arial"/>
      <family val="2"/>
    </font>
    <font>
      <b/>
      <sz val="18"/>
      <color rgb="FF008000"/>
      <name val="Arial"/>
      <family val="2"/>
    </font>
    <font>
      <b/>
      <sz val="12"/>
      <color rgb="FF000000"/>
      <name val="Arial"/>
      <family val="2"/>
    </font>
    <font>
      <sz val="20"/>
      <color rgb="FF000000"/>
      <name val="Arial"/>
      <family val="2"/>
    </font>
    <font>
      <sz val="12"/>
      <color rgb="FF9C0006"/>
      <name val="Calibri"/>
      <family val="2"/>
      <scheme val="minor"/>
    </font>
    <font>
      <sz val="12"/>
      <name val="Arial"/>
      <family val="2"/>
    </font>
    <font>
      <b/>
      <sz val="12"/>
      <name val="Arial"/>
      <family val="2"/>
    </font>
    <font>
      <sz val="8"/>
      <name val="Calibri"/>
      <family val="2"/>
      <charset val="204"/>
    </font>
    <font>
      <sz val="18"/>
      <color rgb="FF000000"/>
      <name val="Arial"/>
      <family val="2"/>
    </font>
    <font>
      <b/>
      <sz val="20"/>
      <color rgb="FF000000"/>
      <name val="Calibri"/>
      <family val="2"/>
    </font>
    <font>
      <sz val="20"/>
      <color rgb="FF9C0006"/>
      <name val="Calibri"/>
      <family val="2"/>
      <scheme val="minor"/>
    </font>
    <font>
      <sz val="16"/>
      <color rgb="FF000000"/>
      <name val="Calibri"/>
      <family val="2"/>
    </font>
    <font>
      <sz val="11"/>
      <color theme="0"/>
      <name val="Calibri"/>
      <family val="2"/>
    </font>
    <font>
      <b/>
      <sz val="18"/>
      <color indexed="9"/>
      <name val="Arial"/>
      <family val="2"/>
    </font>
    <font>
      <sz val="22"/>
      <color rgb="FF000000"/>
      <name val="Arial"/>
      <family val="2"/>
    </font>
    <font>
      <b/>
      <sz val="36"/>
      <color rgb="FF000000"/>
      <name val="Arial"/>
      <family val="2"/>
    </font>
    <font>
      <sz val="48"/>
      <color rgb="FF000000"/>
      <name val="Calibri"/>
      <family val="2"/>
    </font>
    <font>
      <b/>
      <sz val="11"/>
      <color rgb="FF000000"/>
      <name val="Calibri"/>
      <family val="2"/>
    </font>
    <font>
      <sz val="16"/>
      <color rgb="FF000000"/>
      <name val="Calibri"/>
      <family val="2"/>
      <scheme val="minor"/>
    </font>
    <font>
      <b/>
      <sz val="20"/>
      <color rgb="FF000000"/>
      <name val="Calibri"/>
      <family val="2"/>
      <scheme val="minor"/>
    </font>
    <font>
      <sz val="11"/>
      <color rgb="FF000000"/>
      <name val="Calibri"/>
      <family val="2"/>
      <scheme val="minor"/>
    </font>
    <font>
      <sz val="10"/>
      <color rgb="FF000000"/>
      <name val="Calibri"/>
      <family val="2"/>
      <scheme val="minor"/>
    </font>
    <font>
      <sz val="12"/>
      <name val="Arial"/>
      <family val="2"/>
    </font>
    <font>
      <sz val="12"/>
      <color rgb="FF000000"/>
      <name val="Arial"/>
      <family val="2"/>
    </font>
    <font>
      <sz val="11"/>
      <name val="Calibri"/>
      <family val="2"/>
      <charset val="204"/>
    </font>
    <font>
      <sz val="11"/>
      <color rgb="FFFF0000"/>
      <name val="Calibri"/>
      <family val="2"/>
    </font>
    <font>
      <sz val="12"/>
      <color rgb="FF000000"/>
      <name val="Calibri"/>
      <family val="2"/>
      <charset val="204"/>
    </font>
    <font>
      <sz val="11"/>
      <color indexed="8"/>
      <name val="Calibri"/>
      <family val="2"/>
    </font>
    <font>
      <sz val="11"/>
      <color indexed="10"/>
      <name val="Calibri"/>
      <family val="2"/>
    </font>
    <font>
      <sz val="6"/>
      <color indexed="8"/>
      <name val="Arial"/>
      <family val="2"/>
    </font>
    <font>
      <sz val="10"/>
      <color indexed="8"/>
      <name val="Arial"/>
      <family val="2"/>
    </font>
    <font>
      <b/>
      <sz val="10"/>
      <color indexed="8"/>
      <name val="Arial"/>
      <family val="2"/>
    </font>
    <font>
      <sz val="10"/>
      <name val="Arial"/>
      <family val="2"/>
    </font>
    <font>
      <sz val="11"/>
      <color indexed="8"/>
      <name val="Arial"/>
      <family val="2"/>
    </font>
    <font>
      <sz val="10"/>
      <color indexed="10"/>
      <name val="Arial"/>
      <family val="2"/>
    </font>
    <font>
      <sz val="10"/>
      <color rgb="FF000000"/>
      <name val="Calibri"/>
      <family val="2"/>
      <charset val="204"/>
    </font>
    <font>
      <sz val="10"/>
      <name val="Calibri"/>
      <family val="2"/>
      <charset val="204"/>
    </font>
    <font>
      <sz val="10"/>
      <color indexed="10"/>
      <name val="Calibri"/>
      <family val="2"/>
    </font>
    <font>
      <sz val="12"/>
      <name val="Calibri"/>
      <family val="2"/>
    </font>
    <font>
      <sz val="48"/>
      <name val="Calibri"/>
      <family val="2"/>
    </font>
    <font>
      <sz val="12"/>
      <color rgb="FF000000"/>
      <name val="Lucida Grande"/>
    </font>
  </fonts>
  <fills count="17">
    <fill>
      <patternFill patternType="none"/>
    </fill>
    <fill>
      <patternFill patternType="gray125"/>
    </fill>
    <fill>
      <patternFill patternType="solid">
        <fgColor rgb="FFC0C0C0"/>
      </patternFill>
    </fill>
    <fill>
      <patternFill patternType="solid">
        <fgColor theme="0" tint="-0.14999847407452621"/>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rgb="FFFFFFC4"/>
        <bgColor indexed="64"/>
      </patternFill>
    </fill>
    <fill>
      <patternFill patternType="solid">
        <fgColor theme="4" tint="0.79998168889431442"/>
        <bgColor indexed="64"/>
      </patternFill>
    </fill>
    <fill>
      <patternFill patternType="solid">
        <fgColor rgb="FFFFC7CE"/>
      </patternFill>
    </fill>
    <fill>
      <patternFill patternType="solid">
        <fgColor theme="7" tint="0.79998168889431442"/>
        <bgColor indexed="64"/>
      </patternFill>
    </fill>
    <fill>
      <patternFill patternType="solid">
        <fgColor theme="0" tint="-0.249977111117893"/>
        <bgColor indexed="9"/>
      </patternFill>
    </fill>
    <fill>
      <patternFill patternType="solid">
        <fgColor theme="0" tint="-0.14999847407452621"/>
        <bgColor indexed="9"/>
      </patternFill>
    </fill>
    <fill>
      <patternFill patternType="solid">
        <fgColor rgb="FFFFFF00"/>
        <bgColor indexed="64"/>
      </patternFill>
    </fill>
    <fill>
      <patternFill patternType="solid">
        <fgColor theme="6" tint="0.79998168889431442"/>
        <bgColor indexed="64"/>
      </patternFill>
    </fill>
    <fill>
      <patternFill patternType="solid">
        <fgColor indexed="13"/>
        <bgColor indexed="64"/>
      </patternFill>
    </fill>
    <fill>
      <patternFill patternType="solid">
        <fgColor theme="9" tint="0.39997558519241921"/>
        <bgColor indexed="64"/>
      </patternFill>
    </fill>
    <fill>
      <patternFill patternType="solid">
        <fgColor rgb="FFFFFFCC"/>
      </patternFill>
    </fill>
  </fills>
  <borders count="10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style="thin">
        <color rgb="FF000000"/>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thin">
        <color rgb="FF000000"/>
      </bottom>
      <diagonal/>
    </border>
    <border>
      <left style="thin">
        <color rgb="FF000000"/>
      </left>
      <right style="thin">
        <color rgb="FF000000"/>
      </right>
      <top style="hair">
        <color rgb="FF000000"/>
      </top>
      <bottom style="hair">
        <color rgb="FF000000"/>
      </bottom>
      <diagonal/>
    </border>
    <border>
      <left style="thin">
        <color rgb="FF000000"/>
      </left>
      <right/>
      <top style="thin">
        <color rgb="FF000000"/>
      </top>
      <bottom/>
      <diagonal/>
    </border>
    <border>
      <left style="thin">
        <color rgb="FF000000"/>
      </left>
      <right style="thin">
        <color rgb="FF000000"/>
      </right>
      <top/>
      <bottom style="hair">
        <color rgb="FF000000"/>
      </bottom>
      <diagonal/>
    </border>
    <border>
      <left/>
      <right style="thin">
        <color rgb="FF000000"/>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hair">
        <color auto="1"/>
      </bottom>
      <diagonal/>
    </border>
    <border>
      <left style="thin">
        <color rgb="FF000000"/>
      </left>
      <right style="thin">
        <color auto="1"/>
      </right>
      <top style="thin">
        <color rgb="FF000000"/>
      </top>
      <bottom style="hair">
        <color auto="1"/>
      </bottom>
      <diagonal/>
    </border>
    <border>
      <left style="thin">
        <color auto="1"/>
      </left>
      <right style="thin">
        <color auto="1"/>
      </right>
      <top style="hair">
        <color auto="1"/>
      </top>
      <bottom style="hair">
        <color auto="1"/>
      </bottom>
      <diagonal/>
    </border>
    <border>
      <left style="thin">
        <color rgb="FF000000"/>
      </left>
      <right style="thin">
        <color auto="1"/>
      </right>
      <top style="hair">
        <color auto="1"/>
      </top>
      <bottom style="hair">
        <color auto="1"/>
      </bottom>
      <diagonal/>
    </border>
    <border>
      <left style="thin">
        <color auto="1"/>
      </left>
      <right/>
      <top style="hair">
        <color auto="1"/>
      </top>
      <bottom/>
      <diagonal/>
    </border>
    <border>
      <left style="thin">
        <color rgb="FF000000"/>
      </left>
      <right style="thin">
        <color auto="1"/>
      </right>
      <top style="hair">
        <color auto="1"/>
      </top>
      <bottom style="thin">
        <color rgb="FF00000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bottom style="thin">
        <color auto="1"/>
      </bottom>
      <diagonal/>
    </border>
    <border>
      <left style="thin">
        <color rgb="FF000000"/>
      </left>
      <right style="thin">
        <color rgb="FF000000"/>
      </right>
      <top style="thin">
        <color auto="1"/>
      </top>
      <bottom/>
      <diagonal/>
    </border>
    <border>
      <left style="thin">
        <color auto="1"/>
      </left>
      <right style="thin">
        <color auto="1"/>
      </right>
      <top style="thin">
        <color auto="1"/>
      </top>
      <bottom style="thin">
        <color rgb="FF000000"/>
      </bottom>
      <diagonal/>
    </border>
    <border>
      <left style="thin">
        <color auto="1"/>
      </left>
      <right style="thin">
        <color auto="1"/>
      </right>
      <top style="hair">
        <color rgb="FF000000"/>
      </top>
      <bottom style="hair">
        <color rgb="FF000000"/>
      </bottom>
      <diagonal/>
    </border>
    <border>
      <left style="thin">
        <color auto="1"/>
      </left>
      <right style="thin">
        <color auto="1"/>
      </right>
      <top style="hair">
        <color rgb="FF000000"/>
      </top>
      <bottom style="thin">
        <color auto="1"/>
      </bottom>
      <diagonal/>
    </border>
    <border>
      <left/>
      <right/>
      <top style="thin">
        <color auto="1"/>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rgb="FF000000"/>
      </right>
      <top style="thin">
        <color rgb="FF000000"/>
      </top>
      <bottom/>
      <diagonal/>
    </border>
    <border>
      <left style="thin">
        <color auto="1"/>
      </left>
      <right style="thin">
        <color rgb="FF000000"/>
      </right>
      <top/>
      <bottom/>
      <diagonal/>
    </border>
    <border>
      <left style="thin">
        <color auto="1"/>
      </left>
      <right style="thin">
        <color rgb="FF000000"/>
      </right>
      <top/>
      <bottom style="thin">
        <color auto="1"/>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auto="1"/>
      </bottom>
      <diagonal/>
    </border>
    <border>
      <left style="thin">
        <color rgb="FF000000"/>
      </left>
      <right style="thin">
        <color auto="1"/>
      </right>
      <top style="thin">
        <color rgb="FF000000"/>
      </top>
      <bottom/>
      <diagonal/>
    </border>
    <border>
      <left style="thin">
        <color rgb="FF000000"/>
      </left>
      <right style="thin">
        <color auto="1"/>
      </right>
      <top/>
      <bottom/>
      <diagonal/>
    </border>
    <border>
      <left style="thin">
        <color rgb="FF000000"/>
      </left>
      <right style="thin">
        <color auto="1"/>
      </right>
      <top/>
      <bottom style="thin">
        <color auto="1"/>
      </bottom>
      <diagonal/>
    </border>
    <border>
      <left style="thin">
        <color auto="1"/>
      </left>
      <right style="thin">
        <color auto="1"/>
      </right>
      <top style="thin">
        <color rgb="FF000000"/>
      </top>
      <bottom/>
      <diagonal/>
    </border>
    <border>
      <left style="thin">
        <color auto="1"/>
      </left>
      <right style="thin">
        <color auto="1"/>
      </right>
      <top/>
      <bottom style="thin">
        <color rgb="FF000000"/>
      </bottom>
      <diagonal/>
    </border>
    <border>
      <left/>
      <right style="thin">
        <color auto="1"/>
      </right>
      <top/>
      <bottom style="thin">
        <color rgb="FF000000"/>
      </bottom>
      <diagonal/>
    </border>
    <border>
      <left style="thin">
        <color auto="1"/>
      </left>
      <right style="thin">
        <color rgb="FF000000"/>
      </right>
      <top/>
      <bottom style="thin">
        <color rgb="FF000000"/>
      </bottom>
      <diagonal/>
    </border>
    <border>
      <left style="thin">
        <color rgb="FF000000"/>
      </left>
      <right style="thin">
        <color auto="1"/>
      </right>
      <top style="thin">
        <color auto="1"/>
      </top>
      <bottom/>
      <diagonal/>
    </border>
    <border>
      <left style="thin">
        <color rgb="FF000000"/>
      </left>
      <right style="thin">
        <color auto="1"/>
      </right>
      <top/>
      <bottom style="thin">
        <color rgb="FF000000"/>
      </bottom>
      <diagonal/>
    </border>
    <border>
      <left style="thin">
        <color rgb="FF000000"/>
      </left>
      <right style="thin">
        <color auto="1"/>
      </right>
      <top style="thin">
        <color auto="1"/>
      </top>
      <bottom style="thin">
        <color auto="1"/>
      </bottom>
      <diagonal/>
    </border>
    <border>
      <left style="thin">
        <color auto="1"/>
      </left>
      <right style="thin">
        <color rgb="FF000000"/>
      </right>
      <top style="thin">
        <color auto="1"/>
      </top>
      <bottom style="thin">
        <color auto="1"/>
      </bottom>
      <diagonal/>
    </border>
    <border>
      <left/>
      <right/>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rgb="FF000000"/>
      </top>
      <bottom style="thin">
        <color rgb="FF000000"/>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style="thin">
        <color rgb="FF000000"/>
      </right>
      <top style="thin">
        <color auto="1"/>
      </top>
      <bottom/>
      <diagonal/>
    </border>
    <border>
      <left style="thin">
        <color rgb="FF000000"/>
      </left>
      <right style="thin">
        <color rgb="FF000000"/>
      </right>
      <top style="thin">
        <color auto="1"/>
      </top>
      <bottom style="thin">
        <color auto="1"/>
      </bottom>
      <diagonal/>
    </border>
    <border>
      <left/>
      <right style="thin">
        <color rgb="FF000000"/>
      </right>
      <top style="thin">
        <color rgb="FF000000"/>
      </top>
      <bottom style="thin">
        <color rgb="FF00000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thin">
        <color auto="1"/>
      </top>
      <bottom/>
      <diagonal/>
    </border>
    <border>
      <left style="medium">
        <color auto="1"/>
      </left>
      <right/>
      <top/>
      <bottom style="thin">
        <color auto="1"/>
      </bottom>
      <diagonal/>
    </border>
    <border>
      <left/>
      <right style="medium">
        <color auto="1"/>
      </right>
      <top style="thin">
        <color auto="1"/>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style="thin">
        <color auto="1"/>
      </right>
      <top/>
      <bottom style="medium">
        <color auto="1"/>
      </bottom>
      <diagonal/>
    </border>
    <border>
      <left/>
      <right style="thin">
        <color auto="1"/>
      </right>
      <top style="medium">
        <color auto="1"/>
      </top>
      <bottom/>
      <diagonal/>
    </border>
    <border>
      <left style="thin">
        <color rgb="FF000000"/>
      </left>
      <right style="thin">
        <color auto="1"/>
      </right>
      <top style="thin">
        <color rgb="FF000000"/>
      </top>
      <bottom style="thin">
        <color auto="1"/>
      </bottom>
      <diagonal/>
    </border>
    <border>
      <left style="thin">
        <color auto="1"/>
      </left>
      <right style="thin">
        <color rgb="FF000000"/>
      </right>
      <top style="thin">
        <color rgb="FF000000"/>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rgb="FF000000"/>
      </top>
      <bottom style="thin">
        <color auto="1"/>
      </bottom>
      <diagonal/>
    </border>
    <border>
      <left/>
      <right style="thin">
        <color rgb="FF000000"/>
      </right>
      <top style="thin">
        <color rgb="FF000000"/>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rgb="FF000000"/>
      </left>
      <right/>
      <top style="thin">
        <color auto="1"/>
      </top>
      <bottom style="thin">
        <color auto="1"/>
      </bottom>
      <diagonal/>
    </border>
    <border>
      <left style="thin">
        <color auto="1"/>
      </left>
      <right style="thin">
        <color auto="1"/>
      </right>
      <top style="thin">
        <color rgb="FF000000"/>
      </top>
      <bottom style="thin">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rgb="FF000000"/>
      </right>
      <top style="thin">
        <color rgb="FF000000"/>
      </top>
      <bottom style="hair">
        <color rgb="FF000000"/>
      </bottom>
      <diagonal/>
    </border>
    <border>
      <left/>
      <right style="thin">
        <color rgb="FF000000"/>
      </right>
      <top style="hair">
        <color rgb="FF000000"/>
      </top>
      <bottom style="hair">
        <color rgb="FF000000"/>
      </bottom>
      <diagonal/>
    </border>
    <border>
      <left/>
      <right style="medium">
        <color auto="1"/>
      </right>
      <top/>
      <bottom style="thin">
        <color auto="1"/>
      </bottom>
      <diagonal/>
    </border>
    <border>
      <left style="thin">
        <color rgb="FFB2B2B2"/>
      </left>
      <right style="thin">
        <color rgb="FFB2B2B2"/>
      </right>
      <top style="thin">
        <color rgb="FFB2B2B2"/>
      </top>
      <bottom style="thin">
        <color rgb="FFB2B2B2"/>
      </bottom>
      <diagonal/>
    </border>
  </borders>
  <cellStyleXfs count="1900">
    <xf numFmtId="0" fontId="0"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9" fontId="15"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21" fillId="8" borderId="0" applyNumberFormat="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5" fillId="16" borderId="101" applyNumberFormat="0" applyFont="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594">
    <xf numFmtId="0" fontId="0" fillId="0" borderId="0" xfId="0"/>
    <xf numFmtId="0" fontId="4" fillId="0" borderId="1" xfId="0"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horizontal="left" vertical="center"/>
    </xf>
    <xf numFmtId="0" fontId="0" fillId="0" borderId="0" xfId="0" applyAlignment="1">
      <alignment vertical="center"/>
    </xf>
    <xf numFmtId="0" fontId="2" fillId="0" borderId="0" xfId="0" applyFont="1"/>
    <xf numFmtId="0" fontId="2" fillId="2" borderId="1" xfId="0" applyFont="1" applyFill="1" applyBorder="1" applyAlignment="1">
      <alignment horizontal="center" vertical="center" wrapText="1"/>
    </xf>
    <xf numFmtId="1" fontId="1"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xf>
    <xf numFmtId="0" fontId="2" fillId="0" borderId="6" xfId="0" applyFont="1" applyFill="1" applyBorder="1" applyAlignment="1">
      <alignment horizontal="left" vertical="center"/>
    </xf>
    <xf numFmtId="0" fontId="0" fillId="0" borderId="0" xfId="0" applyAlignment="1">
      <alignment horizontal="right"/>
    </xf>
    <xf numFmtId="0" fontId="2" fillId="0" borderId="0" xfId="0" applyFont="1" applyFill="1" applyBorder="1" applyAlignment="1">
      <alignment horizontal="right" vertical="center" wrapText="1"/>
    </xf>
    <xf numFmtId="0" fontId="4" fillId="6" borderId="1" xfId="0" applyFont="1" applyFill="1" applyBorder="1" applyAlignment="1">
      <alignment horizontal="center" vertical="center" wrapText="1"/>
    </xf>
    <xf numFmtId="164" fontId="9" fillId="6" borderId="1" xfId="0" applyNumberFormat="1" applyFont="1" applyFill="1" applyBorder="1" applyAlignment="1">
      <alignment horizontal="center" vertical="center" wrapText="1"/>
    </xf>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xf>
    <xf numFmtId="164" fontId="9" fillId="6" borderId="13" xfId="0" applyNumberFormat="1" applyFont="1" applyFill="1" applyBorder="1" applyAlignment="1">
      <alignment horizontal="center" vertical="center" wrapText="1"/>
    </xf>
    <xf numFmtId="164" fontId="9" fillId="3" borderId="13" xfId="0" applyNumberFormat="1" applyFont="1" applyFill="1" applyBorder="1" applyAlignment="1">
      <alignment horizontal="center" vertical="center" wrapText="1"/>
    </xf>
    <xf numFmtId="1" fontId="4" fillId="3" borderId="13" xfId="0" applyNumberFormat="1" applyFont="1" applyFill="1" applyBorder="1" applyAlignment="1">
      <alignment horizontal="center" vertical="center" wrapText="1"/>
    </xf>
    <xf numFmtId="1" fontId="4" fillId="3" borderId="19" xfId="0" applyNumberFormat="1" applyFont="1" applyFill="1" applyBorder="1" applyAlignment="1">
      <alignment horizontal="center" vertical="center" wrapText="1"/>
    </xf>
    <xf numFmtId="0" fontId="4" fillId="6" borderId="4" xfId="0" applyFont="1" applyFill="1" applyBorder="1" applyAlignment="1">
      <alignment horizontal="center" vertical="center" wrapText="1"/>
    </xf>
    <xf numFmtId="0" fontId="2" fillId="0" borderId="0" xfId="0" applyFont="1" applyAlignment="1">
      <alignment vertical="center"/>
    </xf>
    <xf numFmtId="164" fontId="1" fillId="0" borderId="1" xfId="0" applyNumberFormat="1" applyFont="1" applyBorder="1" applyAlignment="1">
      <alignment horizontal="center" vertical="center" wrapText="1"/>
    </xf>
    <xf numFmtId="164" fontId="16" fillId="6" borderId="11" xfId="0" applyNumberFormat="1" applyFont="1" applyFill="1" applyBorder="1" applyAlignment="1">
      <alignment horizontal="center" vertical="center" wrapText="1"/>
    </xf>
    <xf numFmtId="164" fontId="16" fillId="6" borderId="13" xfId="0" applyNumberFormat="1" applyFont="1" applyFill="1" applyBorder="1" applyAlignment="1">
      <alignment horizontal="center" vertical="center" wrapText="1"/>
    </xf>
    <xf numFmtId="164" fontId="16" fillId="6" borderId="12" xfId="0" applyNumberFormat="1" applyFont="1" applyFill="1" applyBorder="1" applyAlignment="1">
      <alignment horizontal="center" vertical="center" wrapText="1"/>
    </xf>
    <xf numFmtId="164" fontId="16" fillId="6" borderId="7" xfId="0" applyNumberFormat="1" applyFont="1" applyFill="1" applyBorder="1" applyAlignment="1">
      <alignment horizontal="center" vertical="center" wrapText="1"/>
    </xf>
    <xf numFmtId="164" fontId="9" fillId="6" borderId="28" xfId="0" applyNumberFormat="1" applyFont="1" applyFill="1" applyBorder="1" applyAlignment="1">
      <alignment horizontal="center" vertical="center" wrapText="1"/>
    </xf>
    <xf numFmtId="1" fontId="9" fillId="6" borderId="4" xfId="0" applyNumberFormat="1" applyFont="1" applyFill="1" applyBorder="1" applyAlignment="1">
      <alignment horizontal="center" vertical="center" wrapText="1"/>
    </xf>
    <xf numFmtId="0" fontId="9" fillId="6" borderId="4" xfId="0" applyFont="1" applyFill="1" applyBorder="1" applyAlignment="1">
      <alignment horizontal="center" vertical="center" wrapText="1"/>
    </xf>
    <xf numFmtId="164" fontId="16" fillId="6" borderId="29" xfId="0" applyNumberFormat="1" applyFont="1" applyFill="1" applyBorder="1" applyAlignment="1">
      <alignment horizontal="center" vertical="center" wrapText="1"/>
    </xf>
    <xf numFmtId="164" fontId="16" fillId="6" borderId="30" xfId="0" applyNumberFormat="1" applyFont="1" applyFill="1" applyBorder="1" applyAlignment="1">
      <alignment horizontal="center" vertical="center" wrapText="1"/>
    </xf>
    <xf numFmtId="164" fontId="8" fillId="6" borderId="13" xfId="0" applyNumberFormat="1" applyFont="1" applyFill="1" applyBorder="1" applyAlignment="1">
      <alignment horizontal="center" vertical="center" wrapText="1"/>
    </xf>
    <xf numFmtId="164" fontId="9" fillId="6" borderId="4" xfId="0" applyNumberFormat="1" applyFont="1" applyFill="1" applyBorder="1" applyAlignment="1">
      <alignment horizontal="center" vertical="center" wrapText="1"/>
    </xf>
    <xf numFmtId="0" fontId="6" fillId="0" borderId="1" xfId="0" applyFont="1" applyBorder="1" applyAlignment="1">
      <alignment horizontal="center" vertical="center"/>
    </xf>
    <xf numFmtId="0" fontId="2" fillId="0" borderId="0" xfId="0" applyFont="1" applyAlignment="1">
      <alignment horizontal="center" vertical="center"/>
    </xf>
    <xf numFmtId="0" fontId="2" fillId="0" borderId="10" xfId="0" applyFont="1" applyBorder="1" applyAlignment="1">
      <alignment horizontal="center" vertical="center" wrapText="1"/>
    </xf>
    <xf numFmtId="0" fontId="2" fillId="0" borderId="9" xfId="0" applyFont="1" applyBorder="1" applyAlignment="1">
      <alignment horizontal="center" vertical="center"/>
    </xf>
    <xf numFmtId="0" fontId="2" fillId="0" borderId="31" xfId="0" applyFont="1" applyBorder="1" applyAlignment="1">
      <alignment horizontal="center" vertical="center"/>
    </xf>
    <xf numFmtId="1" fontId="2" fillId="0" borderId="31" xfId="0" applyNumberFormat="1" applyFont="1" applyBorder="1" applyAlignment="1">
      <alignment horizontal="center" vertical="center"/>
    </xf>
    <xf numFmtId="0" fontId="2" fillId="0" borderId="0" xfId="0" applyFont="1" applyBorder="1" applyAlignment="1">
      <alignment horizontal="center" vertical="center"/>
    </xf>
    <xf numFmtId="1" fontId="2" fillId="0" borderId="0" xfId="0" applyNumberFormat="1" applyFont="1" applyBorder="1" applyAlignment="1">
      <alignment horizontal="center" vertical="center"/>
    </xf>
    <xf numFmtId="0" fontId="2" fillId="0" borderId="55" xfId="0" applyFont="1" applyBorder="1" applyAlignment="1">
      <alignment horizontal="center" vertical="center"/>
    </xf>
    <xf numFmtId="1" fontId="2" fillId="0" borderId="55" xfId="0" applyNumberFormat="1" applyFont="1" applyBorder="1" applyAlignment="1">
      <alignment horizontal="center" vertical="center"/>
    </xf>
    <xf numFmtId="0" fontId="1" fillId="7" borderId="8" xfId="0" applyFont="1" applyFill="1" applyBorder="1" applyAlignment="1">
      <alignment horizontal="center" vertical="center"/>
    </xf>
    <xf numFmtId="0" fontId="1" fillId="7" borderId="9" xfId="0" applyFont="1" applyFill="1" applyBorder="1" applyAlignment="1">
      <alignment horizontal="center" vertical="center"/>
    </xf>
    <xf numFmtId="1" fontId="1" fillId="7" borderId="10" xfId="0" applyNumberFormat="1" applyFont="1" applyFill="1" applyBorder="1" applyAlignment="1">
      <alignment horizontal="center" vertical="center"/>
    </xf>
    <xf numFmtId="0" fontId="19" fillId="7" borderId="9" xfId="0" applyFont="1" applyFill="1" applyBorder="1" applyAlignment="1">
      <alignment horizontal="center" vertical="center"/>
    </xf>
    <xf numFmtId="1" fontId="19" fillId="7" borderId="10" xfId="0" applyNumberFormat="1" applyFont="1" applyFill="1" applyBorder="1" applyAlignment="1">
      <alignment horizontal="center" vertical="center"/>
    </xf>
    <xf numFmtId="0" fontId="13" fillId="4" borderId="8" xfId="0" applyFont="1" applyFill="1" applyBorder="1" applyAlignment="1">
      <alignment horizontal="center" vertical="center"/>
    </xf>
    <xf numFmtId="0" fontId="13" fillId="4" borderId="9" xfId="0" applyFont="1" applyFill="1" applyBorder="1" applyAlignment="1">
      <alignment vertical="center"/>
    </xf>
    <xf numFmtId="0" fontId="1" fillId="2" borderId="1" xfId="0" applyFont="1" applyFill="1" applyBorder="1" applyAlignment="1">
      <alignment horizontal="left" vertical="center"/>
    </xf>
    <xf numFmtId="0" fontId="2" fillId="0" borderId="4" xfId="0" applyFont="1" applyBorder="1" applyAlignment="1">
      <alignment horizontal="center" vertical="center" wrapText="1"/>
    </xf>
    <xf numFmtId="1" fontId="2" fillId="0" borderId="24" xfId="0" applyNumberFormat="1" applyFont="1" applyBorder="1" applyAlignment="1">
      <alignment horizontal="center" vertical="center"/>
    </xf>
    <xf numFmtId="1" fontId="2" fillId="0" borderId="17" xfId="0" applyNumberFormat="1" applyFont="1" applyBorder="1" applyAlignment="1">
      <alignment horizontal="center" vertical="center"/>
    </xf>
    <xf numFmtId="1" fontId="2" fillId="0" borderId="25" xfId="0" applyNumberFormat="1" applyFont="1" applyBorder="1" applyAlignment="1">
      <alignment horizontal="center" vertical="center"/>
    </xf>
    <xf numFmtId="1" fontId="1" fillId="7" borderId="4" xfId="0" applyNumberFormat="1" applyFont="1" applyFill="1" applyBorder="1" applyAlignment="1">
      <alignment horizontal="center" vertical="center"/>
    </xf>
    <xf numFmtId="171" fontId="4" fillId="0" borderId="1" xfId="0" applyNumberFormat="1" applyFont="1" applyBorder="1" applyAlignment="1">
      <alignment horizontal="center" vertical="center" wrapText="1"/>
    </xf>
    <xf numFmtId="171" fontId="1" fillId="0" borderId="1" xfId="0" applyNumberFormat="1" applyFont="1" applyBorder="1" applyAlignment="1">
      <alignment horizontal="center" vertical="center" wrapText="1"/>
    </xf>
    <xf numFmtId="164" fontId="2" fillId="0" borderId="24" xfId="0" applyNumberFormat="1" applyFont="1" applyBorder="1" applyAlignment="1">
      <alignment horizontal="center" vertical="center"/>
    </xf>
    <xf numFmtId="0" fontId="25" fillId="4" borderId="64" xfId="0" applyFont="1" applyFill="1" applyBorder="1" applyAlignment="1">
      <alignment vertical="center"/>
    </xf>
    <xf numFmtId="169" fontId="18" fillId="4" borderId="64" xfId="0" applyNumberFormat="1" applyFont="1" applyFill="1" applyBorder="1" applyAlignment="1">
      <alignment horizontal="center" vertical="center"/>
    </xf>
    <xf numFmtId="171" fontId="4" fillId="0" borderId="4" xfId="0" applyNumberFormat="1" applyFont="1" applyBorder="1" applyAlignment="1">
      <alignment horizontal="center" vertical="center" wrapText="1"/>
    </xf>
    <xf numFmtId="171" fontId="4" fillId="0" borderId="4" xfId="0" applyNumberFormat="1" applyFont="1" applyFill="1" applyBorder="1" applyAlignment="1">
      <alignment horizontal="center" vertical="center" wrapText="1"/>
    </xf>
    <xf numFmtId="171" fontId="2" fillId="0" borderId="4" xfId="0" applyNumberFormat="1" applyFont="1" applyFill="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171" fontId="4" fillId="0" borderId="1" xfId="0" applyNumberFormat="1" applyFont="1" applyFill="1" applyBorder="1" applyAlignment="1">
      <alignment horizontal="center" vertical="center" wrapText="1"/>
    </xf>
    <xf numFmtId="164" fontId="2" fillId="0" borderId="17" xfId="0" applyNumberFormat="1" applyFont="1" applyBorder="1" applyAlignment="1">
      <alignment horizontal="center" vertical="center"/>
    </xf>
    <xf numFmtId="164" fontId="2" fillId="0" borderId="25" xfId="0" applyNumberFormat="1" applyFont="1" applyBorder="1" applyAlignment="1">
      <alignment horizontal="center" vertical="center"/>
    </xf>
    <xf numFmtId="0" fontId="2" fillId="0" borderId="35" xfId="0" applyFont="1" applyBorder="1" applyAlignment="1">
      <alignment horizontal="center" vertical="center" wrapText="1"/>
    </xf>
    <xf numFmtId="170" fontId="1" fillId="0" borderId="0" xfId="155" applyNumberFormat="1" applyFont="1" applyFill="1" applyBorder="1" applyAlignment="1">
      <alignment horizontal="center" vertical="center"/>
    </xf>
    <xf numFmtId="170" fontId="2" fillId="0" borderId="35" xfId="155" applyNumberFormat="1" applyFont="1" applyBorder="1" applyAlignment="1">
      <alignment horizontal="center" vertical="center"/>
    </xf>
    <xf numFmtId="170" fontId="2" fillId="0" borderId="37" xfId="155" applyNumberFormat="1" applyFont="1" applyBorder="1" applyAlignment="1">
      <alignment horizontal="center" vertical="center"/>
    </xf>
    <xf numFmtId="0" fontId="2" fillId="0" borderId="32" xfId="0" applyFont="1" applyBorder="1" applyAlignment="1">
      <alignment horizontal="center" vertical="center" wrapText="1"/>
    </xf>
    <xf numFmtId="170" fontId="2" fillId="0" borderId="32" xfId="155" applyNumberFormat="1" applyFont="1" applyBorder="1" applyAlignment="1">
      <alignment horizontal="center" vertical="center"/>
    </xf>
    <xf numFmtId="170" fontId="2" fillId="0" borderId="33" xfId="155" applyNumberFormat="1" applyFont="1" applyBorder="1" applyAlignment="1">
      <alignment horizontal="center" vertical="center"/>
    </xf>
    <xf numFmtId="170" fontId="2" fillId="0" borderId="36" xfId="155" applyNumberFormat="1" applyFont="1" applyBorder="1" applyAlignment="1">
      <alignment horizontal="center" vertical="center"/>
    </xf>
    <xf numFmtId="170" fontId="2" fillId="0" borderId="34" xfId="155" applyNumberFormat="1" applyFont="1" applyBorder="1" applyAlignment="1">
      <alignment horizontal="center" vertical="center"/>
    </xf>
    <xf numFmtId="170" fontId="2" fillId="0" borderId="24" xfId="155" applyNumberFormat="1" applyFont="1" applyBorder="1" applyAlignment="1">
      <alignment horizontal="center" vertical="center"/>
    </xf>
    <xf numFmtId="170" fontId="2" fillId="0" borderId="25" xfId="155" applyNumberFormat="1" applyFont="1" applyBorder="1" applyAlignment="1">
      <alignment horizontal="center" vertical="center"/>
    </xf>
    <xf numFmtId="170" fontId="1" fillId="4" borderId="62" xfId="155" applyNumberFormat="1" applyFont="1" applyFill="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Border="1" applyAlignment="1">
      <alignment horizontal="center" vertical="center" wrapText="1"/>
    </xf>
    <xf numFmtId="0" fontId="2" fillId="2" borderId="5" xfId="0" applyFont="1" applyFill="1" applyBorder="1" applyAlignment="1">
      <alignment horizontal="center" vertical="center" wrapText="1"/>
    </xf>
    <xf numFmtId="164" fontId="9" fillId="6" borderId="11" xfId="0" applyNumberFormat="1" applyFont="1" applyFill="1" applyBorder="1" applyAlignment="1">
      <alignment horizontal="center" vertical="center" wrapText="1"/>
    </xf>
    <xf numFmtId="164" fontId="9" fillId="6" borderId="12" xfId="0" applyNumberFormat="1" applyFont="1" applyFill="1" applyBorder="1" applyAlignment="1">
      <alignment horizontal="center" vertical="center" wrapText="1"/>
    </xf>
    <xf numFmtId="0" fontId="0" fillId="0" borderId="0" xfId="0" applyAlignment="1">
      <alignment vertical="center" wrapText="1"/>
    </xf>
    <xf numFmtId="0" fontId="2" fillId="5" borderId="1" xfId="0" applyFont="1" applyFill="1" applyBorder="1" applyAlignment="1" applyProtection="1">
      <alignment horizontal="center" vertical="center" wrapText="1"/>
      <protection locked="0"/>
    </xf>
    <xf numFmtId="167" fontId="4" fillId="5" borderId="5" xfId="0" applyNumberFormat="1" applyFont="1" applyFill="1" applyBorder="1" applyAlignment="1" applyProtection="1">
      <alignment horizontal="center" vertical="center" wrapText="1"/>
      <protection locked="0"/>
    </xf>
    <xf numFmtId="167" fontId="4" fillId="5" borderId="1" xfId="0" applyNumberFormat="1" applyFont="1" applyFill="1" applyBorder="1" applyAlignment="1" applyProtection="1">
      <alignment horizontal="center" vertical="center" wrapText="1"/>
      <protection locked="0"/>
    </xf>
    <xf numFmtId="1" fontId="4" fillId="5" borderId="11" xfId="0" applyNumberFormat="1" applyFont="1" applyFill="1" applyBorder="1" applyAlignment="1" applyProtection="1">
      <alignment horizontal="center" vertical="center" wrapText="1"/>
      <protection locked="0"/>
    </xf>
    <xf numFmtId="1" fontId="4" fillId="5" borderId="13" xfId="0" applyNumberFormat="1" applyFont="1" applyFill="1" applyBorder="1" applyAlignment="1" applyProtection="1">
      <alignment horizontal="center" vertical="center" wrapText="1"/>
      <protection locked="0"/>
    </xf>
    <xf numFmtId="1" fontId="4" fillId="5" borderId="12" xfId="0" applyNumberFormat="1" applyFont="1" applyFill="1" applyBorder="1" applyAlignment="1" applyProtection="1">
      <alignment horizontal="center" vertical="center" wrapText="1"/>
      <protection locked="0"/>
    </xf>
    <xf numFmtId="166" fontId="4" fillId="5" borderId="5" xfId="0" applyNumberFormat="1" applyFont="1" applyFill="1" applyBorder="1" applyAlignment="1" applyProtection="1">
      <alignment horizontal="center" vertical="center" wrapText="1"/>
      <protection locked="0"/>
    </xf>
    <xf numFmtId="1" fontId="4" fillId="5" borderId="5" xfId="0" applyNumberFormat="1" applyFont="1" applyFill="1" applyBorder="1" applyAlignment="1" applyProtection="1">
      <alignment horizontal="center" vertical="center" wrapText="1"/>
      <protection locked="0"/>
    </xf>
    <xf numFmtId="168" fontId="4" fillId="5" borderId="5" xfId="0" applyNumberFormat="1" applyFont="1" applyFill="1" applyBorder="1" applyAlignment="1" applyProtection="1">
      <alignment horizontal="center" vertical="center" wrapText="1"/>
      <protection locked="0"/>
    </xf>
    <xf numFmtId="1" fontId="4" fillId="5" borderId="15" xfId="0" applyNumberFormat="1" applyFont="1" applyFill="1" applyBorder="1" applyAlignment="1" applyProtection="1">
      <alignment horizontal="center" vertical="center" wrapText="1"/>
      <protection locked="0"/>
    </xf>
    <xf numFmtId="1" fontId="4" fillId="5" borderId="7" xfId="0" applyNumberFormat="1" applyFont="1" applyFill="1" applyBorder="1" applyAlignment="1" applyProtection="1">
      <alignment horizontal="center" vertical="center" wrapText="1"/>
      <protection locked="0"/>
    </xf>
    <xf numFmtId="1" fontId="12" fillId="5" borderId="13" xfId="0" applyNumberFormat="1" applyFont="1" applyFill="1" applyBorder="1" applyAlignment="1" applyProtection="1">
      <alignment horizontal="center" vertical="center" wrapText="1"/>
      <protection locked="0"/>
    </xf>
    <xf numFmtId="1" fontId="4" fillId="5" borderId="21" xfId="0" applyNumberFormat="1" applyFont="1" applyFill="1" applyBorder="1" applyAlignment="1" applyProtection="1">
      <alignment horizontal="center" vertical="center" wrapText="1"/>
      <protection locked="0"/>
    </xf>
    <xf numFmtId="168" fontId="4" fillId="5" borderId="23" xfId="0" applyNumberFormat="1" applyFont="1" applyFill="1" applyBorder="1" applyAlignment="1" applyProtection="1">
      <alignment horizontal="center" vertical="center" wrapText="1"/>
      <protection locked="0"/>
    </xf>
    <xf numFmtId="1" fontId="12" fillId="5" borderId="4" xfId="0" applyNumberFormat="1" applyFont="1" applyFill="1" applyBorder="1" applyAlignment="1" applyProtection="1">
      <alignment horizontal="center" vertical="center" wrapText="1"/>
      <protection locked="0"/>
    </xf>
    <xf numFmtId="1" fontId="4" fillId="5" borderId="4" xfId="0" applyNumberFormat="1" applyFont="1" applyFill="1" applyBorder="1" applyAlignment="1" applyProtection="1">
      <alignment horizontal="center" vertical="center" wrapText="1"/>
      <protection locked="0"/>
    </xf>
    <xf numFmtId="1" fontId="12" fillId="5" borderId="67" xfId="0" applyNumberFormat="1" applyFont="1" applyFill="1" applyBorder="1" applyAlignment="1" applyProtection="1">
      <alignment horizontal="center" vertical="center" wrapText="1"/>
      <protection locked="0"/>
    </xf>
    <xf numFmtId="0" fontId="4" fillId="5" borderId="1" xfId="0" applyFont="1" applyFill="1" applyBorder="1" applyAlignment="1" applyProtection="1">
      <alignment horizontal="center" vertical="center" wrapText="1"/>
      <protection locked="0"/>
    </xf>
    <xf numFmtId="0" fontId="2" fillId="0" borderId="31" xfId="0" applyFont="1" applyBorder="1" applyAlignment="1">
      <alignment vertical="center"/>
    </xf>
    <xf numFmtId="0" fontId="2" fillId="0" borderId="24" xfId="0" applyFont="1" applyBorder="1" applyAlignment="1">
      <alignment horizontal="center" vertical="center"/>
    </xf>
    <xf numFmtId="0" fontId="2" fillId="0" borderId="0" xfId="0" applyFont="1" applyBorder="1" applyAlignment="1">
      <alignment vertical="center"/>
    </xf>
    <xf numFmtId="0" fontId="2" fillId="0" borderId="17" xfId="0" applyFont="1" applyBorder="1" applyAlignment="1">
      <alignment horizontal="center" vertical="center"/>
    </xf>
    <xf numFmtId="0" fontId="2" fillId="0" borderId="55" xfId="0" applyFont="1" applyBorder="1" applyAlignment="1">
      <alignment vertical="center"/>
    </xf>
    <xf numFmtId="0" fontId="2" fillId="0" borderId="25" xfId="0" applyFont="1" applyBorder="1" applyAlignment="1">
      <alignment horizontal="center" vertical="center"/>
    </xf>
    <xf numFmtId="0" fontId="13" fillId="4" borderId="60" xfId="0" applyFont="1" applyFill="1" applyBorder="1" applyAlignment="1">
      <alignment vertical="center"/>
    </xf>
    <xf numFmtId="0" fontId="13" fillId="4" borderId="61" xfId="0" applyFont="1" applyFill="1" applyBorder="1" applyAlignment="1">
      <alignment vertical="center"/>
    </xf>
    <xf numFmtId="172" fontId="25" fillId="4" borderId="61" xfId="0" applyNumberFormat="1" applyFont="1" applyFill="1" applyBorder="1" applyAlignment="1">
      <alignment vertical="center"/>
    </xf>
    <xf numFmtId="170" fontId="13" fillId="4" borderId="61" xfId="155" applyNumberFormat="1" applyFont="1" applyFill="1" applyBorder="1" applyAlignment="1">
      <alignment vertical="center"/>
    </xf>
    <xf numFmtId="0" fontId="13" fillId="4" borderId="61" xfId="0" applyFont="1" applyFill="1" applyBorder="1" applyAlignment="1">
      <alignment horizontal="right" vertical="center"/>
    </xf>
    <xf numFmtId="0" fontId="2" fillId="0" borderId="9" xfId="0" applyFont="1" applyBorder="1" applyAlignment="1">
      <alignment vertical="center"/>
    </xf>
    <xf numFmtId="0" fontId="2" fillId="0" borderId="4" xfId="0" applyFont="1" applyBorder="1" applyAlignment="1">
      <alignment horizontal="center" vertical="center"/>
    </xf>
    <xf numFmtId="169" fontId="18" fillId="4" borderId="10" xfId="0" applyNumberFormat="1" applyFont="1" applyFill="1" applyBorder="1" applyAlignment="1">
      <alignment horizontal="center" vertical="center"/>
    </xf>
    <xf numFmtId="0" fontId="0" fillId="0" borderId="1" xfId="0" applyBorder="1" applyAlignment="1">
      <alignment horizontal="left" vertical="center"/>
    </xf>
    <xf numFmtId="0" fontId="13" fillId="4" borderId="63" xfId="0" applyFont="1" applyFill="1" applyBorder="1" applyAlignment="1">
      <alignment horizontal="center" vertical="center"/>
    </xf>
    <xf numFmtId="0" fontId="13" fillId="4" borderId="64" xfId="0" applyFont="1" applyFill="1" applyBorder="1" applyAlignment="1">
      <alignment vertical="center"/>
    </xf>
    <xf numFmtId="169" fontId="18" fillId="4" borderId="64" xfId="0" applyNumberFormat="1" applyFont="1" applyFill="1" applyBorder="1" applyAlignment="1">
      <alignment horizontal="right" vertical="center"/>
    </xf>
    <xf numFmtId="0" fontId="19" fillId="4" borderId="64" xfId="0" applyFont="1" applyFill="1" applyBorder="1" applyAlignment="1">
      <alignment horizontal="right" vertical="center"/>
    </xf>
    <xf numFmtId="171" fontId="25" fillId="4" borderId="64" xfId="0" applyNumberFormat="1" applyFont="1" applyFill="1" applyBorder="1" applyAlignment="1">
      <alignment horizontal="center" vertical="center"/>
    </xf>
    <xf numFmtId="170" fontId="13" fillId="4" borderId="65" xfId="155" applyNumberFormat="1" applyFont="1" applyFill="1" applyBorder="1" applyAlignment="1">
      <alignment horizontal="center" vertical="center"/>
    </xf>
    <xf numFmtId="0" fontId="2" fillId="0" borderId="0" xfId="0" applyFont="1" applyAlignment="1">
      <alignment horizontal="right" vertical="center"/>
    </xf>
    <xf numFmtId="1" fontId="2" fillId="0" borderId="4" xfId="0" applyNumberFormat="1" applyFont="1" applyBorder="1" applyAlignment="1">
      <alignment horizontal="center" vertical="center"/>
    </xf>
    <xf numFmtId="170" fontId="2" fillId="0" borderId="4" xfId="155" applyNumberFormat="1" applyFont="1" applyBorder="1" applyAlignment="1">
      <alignment horizontal="center" vertical="center"/>
    </xf>
    <xf numFmtId="170" fontId="2" fillId="0" borderId="0" xfId="155" applyNumberFormat="1" applyFont="1" applyBorder="1" applyAlignment="1">
      <alignment horizontal="center" vertical="center"/>
    </xf>
    <xf numFmtId="0" fontId="4" fillId="0" borderId="28" xfId="0" applyFont="1" applyBorder="1" applyAlignment="1">
      <alignment horizontal="left" vertical="center"/>
    </xf>
    <xf numFmtId="0" fontId="4" fillId="0" borderId="1" xfId="0" applyFont="1" applyBorder="1" applyAlignment="1">
      <alignment horizontal="left" vertical="center" wrapText="1"/>
    </xf>
    <xf numFmtId="0" fontId="4" fillId="0" borderId="59" xfId="0" applyFont="1" applyBorder="1" applyAlignment="1">
      <alignment horizontal="left" vertical="center"/>
    </xf>
    <xf numFmtId="0" fontId="4" fillId="0" borderId="47" xfId="0" applyFont="1" applyBorder="1" applyAlignment="1">
      <alignment vertical="center"/>
    </xf>
    <xf numFmtId="0" fontId="4" fillId="0" borderId="11" xfId="0" applyFont="1" applyBorder="1" applyAlignment="1">
      <alignment horizontal="left" vertical="center" wrapText="1"/>
    </xf>
    <xf numFmtId="0" fontId="4" fillId="0" borderId="25" xfId="0" applyFont="1" applyBorder="1" applyAlignment="1">
      <alignment vertical="center"/>
    </xf>
    <xf numFmtId="0" fontId="4" fillId="0" borderId="12" xfId="0" applyFont="1" applyBorder="1" applyAlignment="1">
      <alignment horizontal="left" vertical="center" wrapText="1"/>
    </xf>
    <xf numFmtId="0" fontId="1" fillId="0" borderId="1" xfId="0" applyFont="1" applyBorder="1" applyAlignment="1">
      <alignment horizontal="center" vertical="center"/>
    </xf>
    <xf numFmtId="0" fontId="4" fillId="0" borderId="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165" fontId="7" fillId="0" borderId="1" xfId="0" applyNumberFormat="1" applyFont="1" applyBorder="1" applyAlignment="1">
      <alignment horizontal="left" vertical="center" wrapText="1"/>
    </xf>
    <xf numFmtId="0" fontId="4" fillId="0" borderId="14" xfId="0" applyFont="1" applyBorder="1" applyAlignment="1">
      <alignment vertical="center" wrapText="1"/>
    </xf>
    <xf numFmtId="0" fontId="4" fillId="3" borderId="1" xfId="0" applyFont="1" applyFill="1" applyBorder="1" applyAlignment="1">
      <alignment vertical="center" wrapText="1"/>
    </xf>
    <xf numFmtId="0" fontId="4" fillId="0" borderId="13" xfId="0" applyFont="1" applyBorder="1" applyAlignment="1">
      <alignment horizontal="left" vertical="center" wrapText="1" indent="1"/>
    </xf>
    <xf numFmtId="0" fontId="4" fillId="0" borderId="12" xfId="0" applyFont="1" applyBorder="1" applyAlignment="1">
      <alignment horizontal="left" vertical="center" wrapText="1" indent="1"/>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7" xfId="0" applyFont="1" applyBorder="1" applyAlignment="1">
      <alignment horizontal="left" vertical="center"/>
    </xf>
    <xf numFmtId="0" fontId="4" fillId="0" borderId="3" xfId="0" applyFont="1" applyBorder="1" applyAlignment="1">
      <alignment horizontal="left" vertical="center"/>
    </xf>
    <xf numFmtId="165" fontId="7" fillId="0" borderId="1" xfId="0" applyNumberFormat="1" applyFont="1" applyBorder="1" applyAlignment="1" applyProtection="1">
      <alignment horizontal="left" vertical="center" wrapText="1"/>
      <protection locked="0"/>
    </xf>
    <xf numFmtId="0" fontId="4" fillId="3" borderId="11" xfId="0" applyFont="1" applyFill="1" applyBorder="1" applyAlignment="1">
      <alignment vertical="center" wrapText="1"/>
    </xf>
    <xf numFmtId="0" fontId="4" fillId="0" borderId="15" xfId="0" applyFont="1" applyBorder="1" applyAlignment="1">
      <alignment horizontal="left" vertical="center" wrapText="1" indent="1"/>
    </xf>
    <xf numFmtId="0" fontId="4" fillId="0" borderId="13" xfId="0" applyFont="1" applyBorder="1" applyAlignment="1">
      <alignment horizontal="left" vertical="center" wrapText="1"/>
    </xf>
    <xf numFmtId="0" fontId="4" fillId="3" borderId="13" xfId="0" applyFont="1" applyFill="1" applyBorder="1" applyAlignment="1">
      <alignment vertical="center" wrapText="1"/>
    </xf>
    <xf numFmtId="0" fontId="2" fillId="0" borderId="4" xfId="0" applyFont="1" applyBorder="1" applyAlignment="1">
      <alignment horizontal="left" vertical="center"/>
    </xf>
    <xf numFmtId="0" fontId="2" fillId="0" borderId="4" xfId="0" applyFont="1" applyBorder="1" applyAlignment="1">
      <alignment vertical="center"/>
    </xf>
    <xf numFmtId="0" fontId="2" fillId="0" borderId="4" xfId="0" applyFont="1" applyBorder="1" applyAlignment="1" applyProtection="1">
      <alignment vertical="center"/>
      <protection locked="0"/>
    </xf>
    <xf numFmtId="0" fontId="3" fillId="0" borderId="4" xfId="0" applyFont="1" applyBorder="1" applyAlignment="1">
      <alignment horizontal="left" vertical="center"/>
    </xf>
    <xf numFmtId="0" fontId="4" fillId="0" borderId="4" xfId="0" applyFont="1" applyBorder="1" applyAlignment="1">
      <alignment horizontal="left" vertical="center" wrapText="1"/>
    </xf>
    <xf numFmtId="0" fontId="4" fillId="0" borderId="18" xfId="0" applyFont="1" applyBorder="1" applyAlignment="1">
      <alignment horizontal="left" vertical="center" wrapText="1"/>
    </xf>
    <xf numFmtId="0" fontId="4" fillId="0" borderId="20" xfId="0" applyFont="1" applyBorder="1" applyAlignment="1">
      <alignment horizontal="left" vertical="center" wrapText="1" indent="2"/>
    </xf>
    <xf numFmtId="0" fontId="4" fillId="0" borderId="22" xfId="0" applyFont="1" applyBorder="1" applyAlignment="1">
      <alignment horizontal="left" vertical="center" indent="2"/>
    </xf>
    <xf numFmtId="0" fontId="2" fillId="0" borderId="4" xfId="0" applyFont="1" applyBorder="1" applyAlignment="1" applyProtection="1">
      <alignment horizontal="left" vertical="center"/>
      <protection locked="0"/>
    </xf>
    <xf numFmtId="0" fontId="2" fillId="0" borderId="22" xfId="0" applyFont="1" applyBorder="1" applyAlignment="1">
      <alignment horizontal="left" vertical="center" wrapText="1" indent="2"/>
    </xf>
    <xf numFmtId="0" fontId="4" fillId="0" borderId="22" xfId="0" applyFont="1" applyBorder="1" applyAlignment="1">
      <alignment horizontal="left" vertical="center" wrapText="1" indent="2"/>
    </xf>
    <xf numFmtId="165" fontId="7" fillId="0" borderId="1" xfId="0" applyNumberFormat="1" applyFont="1" applyBorder="1" applyAlignment="1" applyProtection="1">
      <alignment vertical="center" wrapText="1"/>
      <protection locked="0"/>
    </xf>
    <xf numFmtId="0" fontId="7" fillId="0" borderId="1" xfId="0" applyFont="1" applyBorder="1" applyAlignment="1" applyProtection="1">
      <alignment horizontal="left" vertical="center" wrapText="1"/>
      <protection locked="0"/>
    </xf>
    <xf numFmtId="0" fontId="6" fillId="0" borderId="1" xfId="0" applyFont="1" applyBorder="1" applyAlignment="1">
      <alignment horizontal="left" vertical="center"/>
    </xf>
    <xf numFmtId="0" fontId="19" fillId="0" borderId="0" xfId="0" applyFont="1" applyFill="1" applyBorder="1" applyAlignment="1">
      <alignment horizontal="left" vertical="center"/>
    </xf>
    <xf numFmtId="0" fontId="2" fillId="0" borderId="1" xfId="0" applyFont="1" applyBorder="1" applyAlignment="1" applyProtection="1">
      <alignment horizontal="left" vertical="center" wrapText="1"/>
      <protection locked="0"/>
    </xf>
    <xf numFmtId="0" fontId="2" fillId="0" borderId="9" xfId="0" applyFont="1" applyBorder="1" applyAlignment="1">
      <alignment horizontal="center" vertical="center" wrapText="1"/>
    </xf>
    <xf numFmtId="0" fontId="19" fillId="7" borderId="8" xfId="0" applyFont="1" applyFill="1" applyBorder="1" applyAlignment="1">
      <alignment horizontal="center" vertical="center"/>
    </xf>
    <xf numFmtId="0" fontId="12" fillId="0" borderId="10" xfId="0" applyFont="1" applyBorder="1" applyAlignment="1">
      <alignment vertical="center"/>
    </xf>
    <xf numFmtId="0" fontId="26" fillId="9" borderId="10" xfId="0" applyFont="1" applyFill="1" applyBorder="1" applyAlignment="1">
      <alignment vertical="center"/>
    </xf>
    <xf numFmtId="0" fontId="27" fillId="8" borderId="86" xfId="684" applyFont="1" applyBorder="1" applyAlignment="1">
      <alignment horizontal="center" vertical="center"/>
    </xf>
    <xf numFmtId="0" fontId="28" fillId="0" borderId="0" xfId="0" applyFont="1" applyAlignment="1">
      <alignment vertical="center"/>
    </xf>
    <xf numFmtId="0" fontId="28" fillId="9" borderId="4" xfId="0" applyFont="1" applyFill="1" applyBorder="1" applyAlignment="1">
      <alignment vertical="center"/>
    </xf>
    <xf numFmtId="0" fontId="0" fillId="0" borderId="24" xfId="0" applyBorder="1" applyAlignment="1">
      <alignment vertical="center" wrapText="1"/>
    </xf>
    <xf numFmtId="0" fontId="0" fillId="0" borderId="17" xfId="0" applyBorder="1" applyAlignment="1">
      <alignment vertical="center" wrapText="1"/>
    </xf>
    <xf numFmtId="0" fontId="0" fillId="0" borderId="25" xfId="0" applyBorder="1" applyAlignment="1">
      <alignment vertical="center" wrapText="1"/>
    </xf>
    <xf numFmtId="0" fontId="4" fillId="0" borderId="17" xfId="0" applyFont="1" applyBorder="1" applyAlignment="1">
      <alignment horizontal="left" vertical="center" wrapText="1"/>
    </xf>
    <xf numFmtId="0" fontId="4" fillId="0" borderId="17" xfId="0" applyFont="1" applyBorder="1" applyAlignment="1">
      <alignment horizontal="left" vertical="center" wrapText="1" indent="2"/>
    </xf>
    <xf numFmtId="0" fontId="2" fillId="0" borderId="17" xfId="0" applyFont="1" applyBorder="1" applyAlignment="1">
      <alignment horizontal="left" vertical="center" wrapText="1" indent="2"/>
    </xf>
    <xf numFmtId="0" fontId="4" fillId="0" borderId="17" xfId="0" applyFont="1" applyBorder="1" applyAlignment="1">
      <alignment horizontal="left" vertical="center" wrapText="1" indent="1"/>
    </xf>
    <xf numFmtId="0" fontId="2" fillId="0" borderId="17" xfId="0" applyFont="1" applyBorder="1" applyAlignment="1">
      <alignment horizontal="left" vertical="center" wrapText="1"/>
    </xf>
    <xf numFmtId="0" fontId="0" fillId="0" borderId="17" xfId="0" applyBorder="1" applyAlignment="1">
      <alignment vertical="center"/>
    </xf>
    <xf numFmtId="0" fontId="0" fillId="0" borderId="25" xfId="0" applyBorder="1" applyAlignment="1">
      <alignment vertical="center"/>
    </xf>
    <xf numFmtId="0" fontId="28" fillId="4" borderId="4" xfId="0" applyFont="1" applyFill="1" applyBorder="1" applyAlignment="1">
      <alignment vertical="center"/>
    </xf>
    <xf numFmtId="0" fontId="28" fillId="9" borderId="8" xfId="0" applyFont="1" applyFill="1" applyBorder="1" applyAlignment="1">
      <alignment vertical="center"/>
    </xf>
    <xf numFmtId="0" fontId="28" fillId="9" borderId="10" xfId="0" applyFont="1" applyFill="1" applyBorder="1" applyAlignment="1">
      <alignment vertical="center"/>
    </xf>
    <xf numFmtId="0" fontId="29" fillId="0" borderId="0" xfId="0" applyFont="1"/>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33" xfId="0" applyBorder="1" applyAlignment="1">
      <alignment vertical="center"/>
    </xf>
    <xf numFmtId="0" fontId="0" fillId="0" borderId="34" xfId="0" applyBorder="1" applyAlignment="1">
      <alignment vertical="center"/>
    </xf>
    <xf numFmtId="173" fontId="4" fillId="5" borderId="5" xfId="0" applyNumberFormat="1" applyFont="1" applyFill="1" applyBorder="1" applyAlignment="1" applyProtection="1">
      <alignment horizontal="center" vertical="center" wrapText="1"/>
      <protection locked="0"/>
    </xf>
    <xf numFmtId="174" fontId="4" fillId="6" borderId="11" xfId="0" applyNumberFormat="1" applyFont="1" applyFill="1" applyBorder="1" applyAlignment="1">
      <alignment horizontal="center" vertical="center" wrapText="1"/>
    </xf>
    <xf numFmtId="0" fontId="2" fillId="3" borderId="0" xfId="0" applyFont="1" applyFill="1" applyAlignment="1">
      <alignment vertical="center"/>
    </xf>
    <xf numFmtId="0" fontId="23" fillId="11" borderId="0" xfId="0" applyFont="1" applyFill="1" applyAlignment="1" applyProtection="1">
      <alignment horizontal="left" vertical="center"/>
    </xf>
    <xf numFmtId="0" fontId="0" fillId="12" borderId="17" xfId="0" applyFill="1" applyBorder="1" applyAlignment="1">
      <alignment vertical="center" wrapText="1"/>
    </xf>
    <xf numFmtId="0" fontId="2" fillId="0" borderId="0" xfId="0" applyFont="1" applyFill="1"/>
    <xf numFmtId="0" fontId="2" fillId="0" borderId="0" xfId="0" applyFont="1" applyFill="1" applyAlignment="1">
      <alignment horizontal="left" vertical="center"/>
    </xf>
    <xf numFmtId="0" fontId="2" fillId="0" borderId="0" xfId="0" applyFont="1" applyFill="1" applyAlignment="1">
      <alignment vertical="center"/>
    </xf>
    <xf numFmtId="0" fontId="23" fillId="0" borderId="0" xfId="0" applyFont="1" applyFill="1" applyAlignment="1" applyProtection="1">
      <alignment horizontal="left" vertical="center"/>
    </xf>
    <xf numFmtId="0" fontId="23" fillId="0" borderId="0" xfId="0" applyFont="1" applyFill="1" applyAlignment="1" applyProtection="1">
      <alignment horizontal="left" vertical="center" indent="1"/>
    </xf>
    <xf numFmtId="0" fontId="2" fillId="13" borderId="4" xfId="0" applyFont="1" applyFill="1" applyBorder="1" applyAlignment="1" applyProtection="1">
      <alignment horizontal="left" vertical="center"/>
      <protection locked="0"/>
    </xf>
    <xf numFmtId="0" fontId="2" fillId="13" borderId="4" xfId="0" applyFont="1" applyFill="1" applyBorder="1" applyAlignment="1" applyProtection="1">
      <alignment horizontal="center" vertical="center"/>
      <protection locked="0"/>
    </xf>
    <xf numFmtId="0" fontId="2" fillId="0" borderId="0" xfId="0" applyFont="1" applyFill="1" applyAlignment="1">
      <alignment horizontal="center" vertical="center"/>
    </xf>
    <xf numFmtId="0" fontId="2" fillId="0" borderId="1" xfId="0" applyFont="1" applyFill="1" applyBorder="1" applyAlignment="1">
      <alignment horizontal="left" vertical="center"/>
    </xf>
    <xf numFmtId="0" fontId="2" fillId="0" borderId="1"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vertical="center"/>
    </xf>
    <xf numFmtId="0" fontId="2" fillId="0" borderId="8" xfId="0" applyFont="1" applyFill="1" applyBorder="1" applyAlignment="1">
      <alignment horizontal="center" vertical="center"/>
    </xf>
    <xf numFmtId="0" fontId="2" fillId="0" borderId="9" xfId="0" applyFont="1" applyFill="1" applyBorder="1" applyAlignment="1">
      <alignment vertical="center"/>
    </xf>
    <xf numFmtId="0" fontId="2" fillId="0" borderId="4"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32"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32" xfId="0" applyFont="1" applyFill="1" applyBorder="1" applyAlignment="1">
      <alignment horizontal="center" vertical="center"/>
    </xf>
    <xf numFmtId="0" fontId="2" fillId="0" borderId="31" xfId="0" applyFont="1" applyFill="1" applyBorder="1" applyAlignment="1">
      <alignment vertical="center"/>
    </xf>
    <xf numFmtId="170" fontId="2" fillId="0" borderId="32" xfId="155" applyNumberFormat="1" applyFont="1" applyFill="1" applyBorder="1" applyAlignment="1">
      <alignment horizontal="center" vertical="center"/>
    </xf>
    <xf numFmtId="170" fontId="2" fillId="0" borderId="35" xfId="155" applyNumberFormat="1" applyFont="1" applyFill="1" applyBorder="1" applyAlignment="1">
      <alignment horizontal="center" vertical="center"/>
    </xf>
    <xf numFmtId="1" fontId="2" fillId="0" borderId="24" xfId="0" applyNumberFormat="1" applyFont="1" applyFill="1" applyBorder="1" applyAlignment="1">
      <alignment horizontal="center" vertical="center"/>
    </xf>
    <xf numFmtId="164" fontId="2" fillId="0" borderId="24" xfId="0" applyNumberFormat="1" applyFont="1" applyFill="1" applyBorder="1" applyAlignment="1">
      <alignment horizontal="center" vertical="center"/>
    </xf>
    <xf numFmtId="0" fontId="2" fillId="0" borderId="24" xfId="0" applyFont="1" applyFill="1" applyBorder="1" applyAlignment="1">
      <alignment horizontal="center" vertical="center"/>
    </xf>
    <xf numFmtId="0" fontId="2" fillId="0" borderId="33" xfId="0" applyFont="1" applyFill="1" applyBorder="1" applyAlignment="1">
      <alignment horizontal="center" vertical="center"/>
    </xf>
    <xf numFmtId="170" fontId="2" fillId="0" borderId="33" xfId="155" applyNumberFormat="1" applyFont="1" applyFill="1" applyBorder="1" applyAlignment="1">
      <alignment horizontal="center" vertical="center"/>
    </xf>
    <xf numFmtId="170" fontId="2" fillId="0" borderId="36" xfId="155" applyNumberFormat="1" applyFont="1" applyFill="1" applyBorder="1" applyAlignment="1">
      <alignment horizontal="center" vertical="center"/>
    </xf>
    <xf numFmtId="1" fontId="2" fillId="0" borderId="17" xfId="0" applyNumberFormat="1" applyFont="1" applyFill="1" applyBorder="1" applyAlignment="1">
      <alignment horizontal="center" vertical="center"/>
    </xf>
    <xf numFmtId="164" fontId="2" fillId="0" borderId="17" xfId="0" applyNumberFormat="1" applyFont="1" applyFill="1" applyBorder="1" applyAlignment="1">
      <alignment horizontal="center" vertical="center"/>
    </xf>
    <xf numFmtId="0" fontId="2" fillId="0" borderId="17"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55" xfId="0" applyFont="1" applyFill="1" applyBorder="1" applyAlignment="1">
      <alignment vertical="center"/>
    </xf>
    <xf numFmtId="170" fontId="2" fillId="0" borderId="34" xfId="155" applyNumberFormat="1" applyFont="1" applyFill="1" applyBorder="1" applyAlignment="1">
      <alignment horizontal="center" vertical="center"/>
    </xf>
    <xf numFmtId="170" fontId="2" fillId="0" borderId="37" xfId="155" applyNumberFormat="1" applyFont="1" applyFill="1" applyBorder="1" applyAlignment="1">
      <alignment horizontal="center" vertical="center"/>
    </xf>
    <xf numFmtId="1" fontId="2" fillId="0" borderId="25" xfId="0" applyNumberFormat="1" applyFont="1" applyFill="1" applyBorder="1" applyAlignment="1">
      <alignment horizontal="center" vertical="center"/>
    </xf>
    <xf numFmtId="164" fontId="2" fillId="0" borderId="25" xfId="0" applyNumberFormat="1" applyFont="1" applyFill="1" applyBorder="1" applyAlignment="1">
      <alignment horizontal="center" vertical="center"/>
    </xf>
    <xf numFmtId="0" fontId="2" fillId="0" borderId="25" xfId="0" applyFont="1" applyFill="1" applyBorder="1" applyAlignment="1">
      <alignment horizontal="center" vertical="center"/>
    </xf>
    <xf numFmtId="1" fontId="1" fillId="0" borderId="4" xfId="0" applyNumberFormat="1" applyFont="1" applyFill="1" applyBorder="1" applyAlignment="1">
      <alignment horizontal="center" vertical="center"/>
    </xf>
    <xf numFmtId="170" fontId="2" fillId="0" borderId="24" xfId="155" applyNumberFormat="1" applyFont="1" applyFill="1" applyBorder="1" applyAlignment="1">
      <alignment horizontal="center" vertical="center"/>
    </xf>
    <xf numFmtId="170" fontId="2" fillId="0" borderId="25" xfId="155" applyNumberFormat="1" applyFont="1" applyFill="1" applyBorder="1" applyAlignment="1">
      <alignment horizontal="center" vertical="center"/>
    </xf>
    <xf numFmtId="0" fontId="3" fillId="0" borderId="1" xfId="0" applyFont="1" applyBorder="1" applyAlignment="1">
      <alignment horizontal="center" vertical="center"/>
    </xf>
    <xf numFmtId="0" fontId="17" fillId="0" borderId="8" xfId="0" applyFont="1" applyFill="1" applyBorder="1" applyAlignment="1">
      <alignment vertical="center"/>
    </xf>
    <xf numFmtId="0" fontId="2" fillId="0" borderId="10" xfId="0" applyFont="1" applyBorder="1" applyAlignment="1">
      <alignment horizontal="center"/>
    </xf>
    <xf numFmtId="0" fontId="2" fillId="0" borderId="0" xfId="0" applyFont="1" applyFill="1" applyBorder="1" applyAlignment="1" applyProtection="1">
      <alignment horizontal="left" vertical="center"/>
    </xf>
    <xf numFmtId="0" fontId="33" fillId="0" borderId="0" xfId="0" applyFont="1" applyAlignment="1">
      <alignment horizontal="center" vertical="center" wrapText="1"/>
    </xf>
    <xf numFmtId="0" fontId="34" fillId="0" borderId="4" xfId="0" applyFont="1" applyBorder="1" applyAlignment="1">
      <alignment horizontal="center"/>
    </xf>
    <xf numFmtId="0" fontId="0" fillId="0" borderId="0" xfId="0" applyAlignment="1">
      <alignment horizontal="center"/>
    </xf>
    <xf numFmtId="0" fontId="0" fillId="0" borderId="17" xfId="0" applyFill="1" applyBorder="1" applyAlignment="1">
      <alignment vertical="center" wrapText="1"/>
    </xf>
    <xf numFmtId="0" fontId="35" fillId="9" borderId="8" xfId="0" applyFont="1" applyFill="1" applyBorder="1" applyAlignment="1">
      <alignment vertical="center"/>
    </xf>
    <xf numFmtId="0" fontId="35" fillId="9" borderId="10" xfId="0" applyFont="1" applyFill="1" applyBorder="1" applyAlignment="1">
      <alignment vertical="center"/>
    </xf>
    <xf numFmtId="0" fontId="36" fillId="9" borderId="10" xfId="0" applyFont="1" applyFill="1" applyBorder="1" applyAlignment="1">
      <alignment vertical="center"/>
    </xf>
    <xf numFmtId="0" fontId="37" fillId="0" borderId="0" xfId="0" applyFont="1" applyAlignment="1">
      <alignment vertical="center"/>
    </xf>
    <xf numFmtId="0" fontId="35" fillId="9" borderId="4" xfId="0" applyFont="1" applyFill="1" applyBorder="1" applyAlignment="1">
      <alignment vertical="center"/>
    </xf>
    <xf numFmtId="0" fontId="35" fillId="0" borderId="0" xfId="0" applyFont="1" applyAlignment="1">
      <alignment vertical="center"/>
    </xf>
    <xf numFmtId="0" fontId="38" fillId="0" borderId="17" xfId="0" applyFont="1" applyBorder="1" applyAlignment="1">
      <alignment horizontal="left" vertical="center" wrapText="1"/>
    </xf>
    <xf numFmtId="0" fontId="38" fillId="0" borderId="17" xfId="0" applyFont="1" applyBorder="1" applyAlignment="1">
      <alignment horizontal="left" vertical="center" wrapText="1" indent="2"/>
    </xf>
    <xf numFmtId="0" fontId="38" fillId="0" borderId="17" xfId="0" applyFont="1" applyBorder="1" applyAlignment="1">
      <alignment horizontal="left" vertical="center" wrapText="1" indent="1"/>
    </xf>
    <xf numFmtId="0" fontId="37" fillId="0" borderId="0" xfId="0" applyFont="1" applyAlignment="1">
      <alignment vertical="center" wrapText="1"/>
    </xf>
    <xf numFmtId="0" fontId="38" fillId="0" borderId="24" xfId="0" applyFont="1" applyBorder="1" applyAlignment="1">
      <alignment horizontal="left" vertical="center" wrapText="1"/>
    </xf>
    <xf numFmtId="0" fontId="38" fillId="12" borderId="17" xfId="0" applyFont="1" applyFill="1" applyBorder="1" applyAlignment="1">
      <alignment horizontal="left" vertical="center" wrapText="1"/>
    </xf>
    <xf numFmtId="0" fontId="38" fillId="0" borderId="17" xfId="0" applyFont="1" applyFill="1" applyBorder="1" applyAlignment="1">
      <alignment horizontal="left" vertical="center" wrapText="1"/>
    </xf>
    <xf numFmtId="0" fontId="3" fillId="0" borderId="59" xfId="0" applyFont="1" applyBorder="1" applyAlignment="1">
      <alignment horizontal="center" vertical="center"/>
    </xf>
    <xf numFmtId="0" fontId="0" fillId="0" borderId="95" xfId="0" applyBorder="1" applyAlignment="1">
      <alignment horizontal="center" vertical="center"/>
    </xf>
    <xf numFmtId="0" fontId="3" fillId="0" borderId="4" xfId="0" applyFont="1" applyBorder="1" applyAlignment="1">
      <alignment horizontal="center" vertical="center"/>
    </xf>
    <xf numFmtId="0" fontId="4" fillId="0" borderId="96" xfId="0" applyFont="1" applyBorder="1" applyAlignment="1">
      <alignment horizontal="left" vertical="center" wrapText="1"/>
    </xf>
    <xf numFmtId="0" fontId="4" fillId="0" borderId="97" xfId="0" applyFont="1" applyBorder="1" applyAlignment="1">
      <alignment horizontal="left" vertical="center" wrapText="1" indent="2"/>
    </xf>
    <xf numFmtId="0" fontId="4" fillId="0" borderId="98" xfId="0" applyFont="1" applyBorder="1" applyAlignment="1">
      <alignment horizontal="left" vertical="center" wrapText="1"/>
    </xf>
    <xf numFmtId="0" fontId="4" fillId="0" borderId="99" xfId="0" applyFont="1" applyBorder="1" applyAlignment="1">
      <alignment horizontal="left" vertical="center" wrapText="1" indent="2"/>
    </xf>
    <xf numFmtId="0" fontId="4" fillId="0" borderId="68" xfId="0" applyFont="1" applyBorder="1" applyAlignment="1">
      <alignment horizontal="left" vertical="center" wrapText="1"/>
    </xf>
    <xf numFmtId="0" fontId="1" fillId="0" borderId="68" xfId="0" applyFont="1" applyBorder="1" applyAlignment="1">
      <alignment horizontal="center" vertical="center"/>
    </xf>
    <xf numFmtId="0" fontId="4" fillId="0" borderId="10" xfId="0" applyFont="1" applyBorder="1" applyAlignment="1">
      <alignment horizontal="left" vertical="center" wrapText="1"/>
    </xf>
    <xf numFmtId="0" fontId="2" fillId="2" borderId="24" xfId="0" applyFont="1" applyFill="1" applyBorder="1" applyAlignment="1">
      <alignment horizontal="center" vertical="center"/>
    </xf>
    <xf numFmtId="0" fontId="2" fillId="2" borderId="2" xfId="0" applyFont="1" applyFill="1" applyBorder="1" applyAlignment="1">
      <alignment horizontal="center" vertical="center"/>
    </xf>
    <xf numFmtId="0" fontId="0" fillId="0" borderId="0" xfId="0" applyBorder="1" applyAlignment="1">
      <alignment vertical="center"/>
    </xf>
    <xf numFmtId="0" fontId="19" fillId="0" borderId="33" xfId="0" applyFont="1" applyFill="1" applyBorder="1" applyAlignment="1">
      <alignment horizontal="left" vertical="center"/>
    </xf>
    <xf numFmtId="0" fontId="13" fillId="4" borderId="60" xfId="0" applyFont="1" applyFill="1" applyBorder="1" applyAlignment="1">
      <alignment horizontal="center" vertical="center"/>
    </xf>
    <xf numFmtId="0" fontId="25" fillId="4" borderId="61" xfId="0" applyFont="1" applyFill="1" applyBorder="1" applyAlignment="1">
      <alignment vertical="center"/>
    </xf>
    <xf numFmtId="169" fontId="18" fillId="4" borderId="61" xfId="0" applyNumberFormat="1" applyFont="1" applyFill="1" applyBorder="1" applyAlignment="1">
      <alignment horizontal="center" vertical="center"/>
    </xf>
    <xf numFmtId="169" fontId="18" fillId="4" borderId="61" xfId="0" applyNumberFormat="1" applyFont="1" applyFill="1" applyBorder="1" applyAlignment="1">
      <alignment horizontal="right" vertical="center"/>
    </xf>
    <xf numFmtId="0" fontId="19" fillId="4" borderId="61" xfId="0" applyFont="1" applyFill="1" applyBorder="1" applyAlignment="1">
      <alignment horizontal="right" vertical="center"/>
    </xf>
    <xf numFmtId="171" fontId="25" fillId="4" borderId="61" xfId="0" applyNumberFormat="1" applyFont="1" applyFill="1" applyBorder="1" applyAlignment="1">
      <alignment horizontal="center" vertical="center"/>
    </xf>
    <xf numFmtId="170" fontId="13" fillId="4" borderId="62" xfId="155" applyNumberFormat="1" applyFont="1" applyFill="1" applyBorder="1" applyAlignment="1">
      <alignment horizontal="center" vertical="center"/>
    </xf>
    <xf numFmtId="0" fontId="41" fillId="0" borderId="17" xfId="0" applyFont="1" applyBorder="1" applyAlignment="1">
      <alignment vertical="center" wrapText="1"/>
    </xf>
    <xf numFmtId="0" fontId="41" fillId="0" borderId="17" xfId="0" applyFont="1" applyFill="1" applyBorder="1" applyAlignment="1">
      <alignment vertical="center" wrapText="1"/>
    </xf>
    <xf numFmtId="0" fontId="45" fillId="0" borderId="17" xfId="0" applyFont="1" applyBorder="1" applyAlignment="1">
      <alignment vertical="center" wrapText="1"/>
    </xf>
    <xf numFmtId="0" fontId="47" fillId="0" borderId="17" xfId="0" applyFont="1" applyBorder="1" applyAlignment="1">
      <alignment horizontal="left" vertical="center" wrapText="1"/>
    </xf>
    <xf numFmtId="0" fontId="49" fillId="0" borderId="17" xfId="0" applyFont="1" applyBorder="1" applyAlignment="1">
      <alignment horizontal="left" vertical="center" wrapText="1"/>
    </xf>
    <xf numFmtId="0" fontId="49" fillId="0" borderId="17" xfId="0" applyFont="1" applyBorder="1" applyAlignment="1">
      <alignment horizontal="left" vertical="center" wrapText="1" indent="2"/>
    </xf>
    <xf numFmtId="0" fontId="50" fillId="14" borderId="17" xfId="0" applyFont="1" applyFill="1" applyBorder="1" applyAlignment="1">
      <alignment horizontal="left" vertical="center" wrapText="1" indent="2"/>
    </xf>
    <xf numFmtId="0" fontId="47" fillId="0" borderId="17" xfId="0" applyFont="1" applyBorder="1" applyAlignment="1">
      <alignment horizontal="left" vertical="center" wrapText="1" indent="2"/>
    </xf>
    <xf numFmtId="0" fontId="50" fillId="0" borderId="17" xfId="0" applyFont="1" applyBorder="1" applyAlignment="1">
      <alignment horizontal="left" vertical="center" wrapText="1" indent="2"/>
    </xf>
    <xf numFmtId="0" fontId="47" fillId="0" borderId="17" xfId="0" applyFont="1" applyBorder="1" applyAlignment="1">
      <alignment horizontal="left" vertical="center" wrapText="1" indent="1"/>
    </xf>
    <xf numFmtId="0" fontId="47" fillId="0" borderId="17" xfId="0" applyFont="1" applyFill="1" applyBorder="1" applyAlignment="1">
      <alignment horizontal="left" vertical="center" wrapText="1" indent="1"/>
    </xf>
    <xf numFmtId="0" fontId="51" fillId="0" borderId="17" xfId="0" applyFont="1" applyBorder="1" applyAlignment="1">
      <alignment horizontal="left" vertical="center" wrapText="1" indent="1"/>
    </xf>
    <xf numFmtId="0" fontId="49" fillId="0" borderId="17" xfId="0" applyFont="1" applyBorder="1" applyAlignment="1">
      <alignment horizontal="left" vertical="center" wrapText="1" indent="1"/>
    </xf>
    <xf numFmtId="0" fontId="50" fillId="0" borderId="17" xfId="0" applyFont="1" applyBorder="1" applyAlignment="1">
      <alignment horizontal="left" vertical="center" wrapText="1"/>
    </xf>
    <xf numFmtId="0" fontId="49" fillId="0" borderId="17" xfId="0" applyFont="1" applyFill="1" applyBorder="1" applyAlignment="1">
      <alignment horizontal="left" vertical="center" wrapText="1" indent="1"/>
    </xf>
    <xf numFmtId="0" fontId="51" fillId="14" borderId="17" xfId="0" applyFont="1" applyFill="1" applyBorder="1" applyAlignment="1">
      <alignment horizontal="left" vertical="center" wrapText="1"/>
    </xf>
    <xf numFmtId="0" fontId="49" fillId="14" borderId="17" xfId="0" applyFont="1" applyFill="1" applyBorder="1" applyAlignment="1">
      <alignment horizontal="left" vertical="center" wrapText="1" indent="2"/>
    </xf>
    <xf numFmtId="0" fontId="51" fillId="14" borderId="17" xfId="0" applyFont="1" applyFill="1" applyBorder="1" applyAlignment="1">
      <alignment horizontal="left" vertical="center" wrapText="1" indent="2"/>
    </xf>
    <xf numFmtId="0" fontId="45" fillId="14" borderId="17" xfId="0" applyFont="1" applyFill="1" applyBorder="1" applyAlignment="1">
      <alignment vertical="center" wrapText="1"/>
    </xf>
    <xf numFmtId="0" fontId="27" fillId="15" borderId="86" xfId="684" applyFont="1" applyFill="1" applyBorder="1" applyAlignment="1">
      <alignment horizontal="center" vertical="center"/>
    </xf>
    <xf numFmtId="0" fontId="43" fillId="3" borderId="32" xfId="0" applyFont="1" applyFill="1" applyBorder="1" applyAlignment="1">
      <alignment vertical="center"/>
    </xf>
    <xf numFmtId="0" fontId="43" fillId="3" borderId="24" xfId="0" applyFont="1" applyFill="1" applyBorder="1" applyAlignment="1">
      <alignment vertical="center" wrapText="1"/>
    </xf>
    <xf numFmtId="0" fontId="0" fillId="3" borderId="24" xfId="0" applyFill="1" applyBorder="1" applyAlignment="1">
      <alignment vertical="center" wrapText="1"/>
    </xf>
    <xf numFmtId="0" fontId="43" fillId="3" borderId="33" xfId="0" applyFont="1" applyFill="1" applyBorder="1" applyAlignment="1">
      <alignment vertical="center"/>
    </xf>
    <xf numFmtId="0" fontId="43" fillId="3" borderId="17" xfId="0" applyFont="1" applyFill="1" applyBorder="1" applyAlignment="1">
      <alignment vertical="center" wrapText="1"/>
    </xf>
    <xf numFmtId="0" fontId="0" fillId="3" borderId="17" xfId="0" applyFill="1" applyBorder="1" applyAlignment="1">
      <alignment vertical="center" wrapText="1"/>
    </xf>
    <xf numFmtId="0" fontId="0" fillId="3" borderId="33" xfId="0" applyFill="1" applyBorder="1" applyAlignment="1">
      <alignment vertical="center"/>
    </xf>
    <xf numFmtId="0" fontId="0" fillId="3" borderId="34" xfId="0" applyFill="1" applyBorder="1" applyAlignment="1">
      <alignment vertical="center"/>
    </xf>
    <xf numFmtId="0" fontId="0" fillId="3" borderId="25" xfId="0" applyFill="1" applyBorder="1" applyAlignment="1">
      <alignment vertical="center" wrapText="1"/>
    </xf>
    <xf numFmtId="0" fontId="0" fillId="0" borderId="32" xfId="0" applyBorder="1" applyAlignment="1">
      <alignment vertical="center"/>
    </xf>
    <xf numFmtId="0" fontId="0" fillId="13" borderId="32" xfId="0" applyFill="1" applyBorder="1" applyAlignment="1">
      <alignment vertical="center"/>
    </xf>
    <xf numFmtId="0" fontId="38" fillId="13" borderId="24" xfId="0" applyFont="1" applyFill="1" applyBorder="1" applyAlignment="1">
      <alignment horizontal="left" vertical="center" wrapText="1"/>
    </xf>
    <xf numFmtId="0" fontId="0" fillId="13" borderId="24" xfId="0" applyFill="1" applyBorder="1" applyAlignment="1">
      <alignment vertical="center" wrapText="1"/>
    </xf>
    <xf numFmtId="0" fontId="0" fillId="13" borderId="33" xfId="0" applyFill="1" applyBorder="1" applyAlignment="1">
      <alignment vertical="center"/>
    </xf>
    <xf numFmtId="0" fontId="38" fillId="13" borderId="17" xfId="0" applyFont="1" applyFill="1" applyBorder="1" applyAlignment="1">
      <alignment horizontal="left" vertical="center" wrapText="1"/>
    </xf>
    <xf numFmtId="0" fontId="0" fillId="13" borderId="17" xfId="0" applyFill="1" applyBorder="1" applyAlignment="1">
      <alignment vertical="center" wrapText="1"/>
    </xf>
    <xf numFmtId="0" fontId="38" fillId="13" borderId="17" xfId="0" applyFont="1" applyFill="1" applyBorder="1" applyAlignment="1">
      <alignment horizontal="left" vertical="center" wrapText="1" indent="2"/>
    </xf>
    <xf numFmtId="0" fontId="38" fillId="13" borderId="17" xfId="0" applyFont="1" applyFill="1" applyBorder="1" applyAlignment="1">
      <alignment horizontal="left" vertical="center" wrapText="1" indent="1"/>
    </xf>
    <xf numFmtId="0" fontId="0" fillId="13" borderId="34" xfId="0" applyFill="1" applyBorder="1" applyAlignment="1">
      <alignment vertical="center"/>
    </xf>
    <xf numFmtId="0" fontId="38" fillId="13" borderId="25" xfId="0" applyFont="1" applyFill="1" applyBorder="1" applyAlignment="1">
      <alignment horizontal="left" vertical="center" wrapText="1"/>
    </xf>
    <xf numFmtId="0" fontId="0" fillId="13" borderId="25" xfId="0" applyFill="1" applyBorder="1" applyAlignment="1">
      <alignment vertical="center" wrapText="1"/>
    </xf>
    <xf numFmtId="0" fontId="28" fillId="15" borderId="86" xfId="0" applyFont="1" applyFill="1" applyBorder="1" applyAlignment="1">
      <alignment vertical="center"/>
    </xf>
    <xf numFmtId="0" fontId="26" fillId="15" borderId="86" xfId="0" applyFont="1" applyFill="1" applyBorder="1" applyAlignment="1">
      <alignment vertical="center"/>
    </xf>
    <xf numFmtId="0" fontId="38" fillId="0" borderId="0" xfId="0" applyFont="1" applyAlignment="1">
      <alignment vertical="center"/>
    </xf>
    <xf numFmtId="0" fontId="38" fillId="0" borderId="24" xfId="0" applyFont="1" applyBorder="1" applyAlignment="1">
      <alignment vertical="center" wrapText="1"/>
    </xf>
    <xf numFmtId="0" fontId="52" fillId="0" borderId="24" xfId="0" applyFont="1" applyBorder="1" applyAlignment="1">
      <alignment vertical="center" wrapText="1"/>
    </xf>
    <xf numFmtId="0" fontId="38" fillId="0" borderId="17" xfId="0" applyFont="1" applyBorder="1" applyAlignment="1">
      <alignment vertical="center" wrapText="1"/>
    </xf>
    <xf numFmtId="0" fontId="52" fillId="0" borderId="17" xfId="0" applyFont="1" applyBorder="1" applyAlignment="1">
      <alignment vertical="center" wrapText="1"/>
    </xf>
    <xf numFmtId="0" fontId="53" fillId="0" borderId="17" xfId="0" applyFont="1" applyFill="1" applyBorder="1" applyAlignment="1">
      <alignment vertical="center" wrapText="1"/>
    </xf>
    <xf numFmtId="0" fontId="53" fillId="0" borderId="17" xfId="0" applyFont="1" applyBorder="1" applyAlignment="1">
      <alignment vertical="center" wrapText="1"/>
    </xf>
    <xf numFmtId="0" fontId="52" fillId="0" borderId="17" xfId="0" applyFont="1" applyFill="1" applyBorder="1" applyAlignment="1">
      <alignment vertical="center" wrapText="1"/>
    </xf>
    <xf numFmtId="0" fontId="54" fillId="0" borderId="17" xfId="0" applyFont="1" applyFill="1" applyBorder="1" applyAlignment="1">
      <alignment vertical="center" wrapText="1"/>
    </xf>
    <xf numFmtId="0" fontId="38" fillId="0" borderId="17" xfId="0" applyFont="1" applyBorder="1" applyAlignment="1">
      <alignment vertical="center"/>
    </xf>
    <xf numFmtId="0" fontId="38" fillId="0" borderId="25" xfId="0" applyFont="1" applyBorder="1" applyAlignment="1">
      <alignment vertical="center" wrapText="1"/>
    </xf>
    <xf numFmtId="0" fontId="38" fillId="0" borderId="0" xfId="0" applyFont="1" applyAlignment="1">
      <alignment vertical="center" wrapText="1"/>
    </xf>
    <xf numFmtId="0" fontId="38" fillId="0" borderId="25" xfId="0" applyFont="1" applyBorder="1" applyAlignment="1">
      <alignment vertical="center"/>
    </xf>
    <xf numFmtId="0" fontId="41" fillId="0" borderId="0" xfId="0" applyFont="1" applyFill="1" applyAlignment="1">
      <alignment vertical="center"/>
    </xf>
    <xf numFmtId="0" fontId="55" fillId="0" borderId="24" xfId="0" applyFont="1" applyFill="1" applyBorder="1" applyAlignment="1">
      <alignment vertical="center" wrapText="1"/>
    </xf>
    <xf numFmtId="0" fontId="55" fillId="0" borderId="0" xfId="0" applyFont="1" applyFill="1" applyAlignment="1">
      <alignment vertical="center"/>
    </xf>
    <xf numFmtId="0" fontId="41" fillId="0" borderId="24" xfId="0" applyFont="1" applyFill="1" applyBorder="1" applyAlignment="1">
      <alignment vertical="center" wrapText="1"/>
    </xf>
    <xf numFmtId="0" fontId="55" fillId="0" borderId="17" xfId="0" applyFont="1" applyFill="1" applyBorder="1" applyAlignment="1">
      <alignment vertical="center" wrapText="1"/>
    </xf>
    <xf numFmtId="0" fontId="28" fillId="9" borderId="9" xfId="0" applyFont="1" applyFill="1" applyBorder="1" applyAlignment="1">
      <alignment vertical="center"/>
    </xf>
    <xf numFmtId="0" fontId="0" fillId="0" borderId="0" xfId="0" applyBorder="1"/>
    <xf numFmtId="0" fontId="28" fillId="4" borderId="4" xfId="0" applyFont="1" applyFill="1" applyBorder="1" applyAlignment="1">
      <alignment horizontal="left" vertical="center"/>
    </xf>
    <xf numFmtId="0" fontId="0" fillId="0" borderId="0" xfId="0" applyAlignment="1">
      <alignment horizontal="left" vertical="center" wrapText="1"/>
    </xf>
    <xf numFmtId="0" fontId="0" fillId="0" borderId="0" xfId="0" applyAlignment="1">
      <alignment horizontal="left" vertical="center"/>
    </xf>
    <xf numFmtId="0" fontId="0" fillId="16" borderId="101" xfId="1883" applyFont="1" applyAlignment="1">
      <alignment horizontal="left" vertical="center" wrapText="1"/>
    </xf>
    <xf numFmtId="170" fontId="4" fillId="6" borderId="12" xfId="155" applyNumberFormat="1" applyFont="1" applyFill="1" applyBorder="1" applyAlignment="1">
      <alignment horizontal="center" vertical="center" wrapText="1"/>
    </xf>
    <xf numFmtId="15" fontId="2" fillId="13" borderId="4" xfId="0" applyNumberFormat="1" applyFont="1" applyFill="1" applyBorder="1" applyAlignment="1" applyProtection="1">
      <alignment horizontal="center" vertical="center"/>
      <protection locked="0"/>
    </xf>
    <xf numFmtId="0" fontId="56" fillId="0" borderId="0" xfId="0" applyFont="1" applyBorder="1" applyAlignment="1">
      <alignment horizontal="center" vertical="center" wrapText="1"/>
    </xf>
    <xf numFmtId="0" fontId="12" fillId="13" borderId="8" xfId="0" applyFont="1" applyFill="1" applyBorder="1" applyAlignment="1" applyProtection="1">
      <alignment horizontal="center" vertical="center"/>
      <protection locked="0"/>
    </xf>
    <xf numFmtId="0" fontId="12" fillId="13" borderId="10" xfId="0" applyFont="1" applyFill="1" applyBorder="1" applyAlignment="1" applyProtection="1">
      <alignment horizontal="center" vertical="center"/>
      <protection locked="0"/>
    </xf>
    <xf numFmtId="0" fontId="2" fillId="13" borderId="8" xfId="0" applyFont="1" applyFill="1" applyBorder="1" applyAlignment="1" applyProtection="1">
      <alignment horizontal="center" vertical="center"/>
      <protection locked="0"/>
    </xf>
    <xf numFmtId="0" fontId="2" fillId="13" borderId="10" xfId="0" applyFont="1" applyFill="1" applyBorder="1" applyAlignment="1" applyProtection="1">
      <alignment horizontal="center" vertical="center"/>
      <protection locked="0"/>
    </xf>
    <xf numFmtId="0" fontId="23" fillId="10" borderId="8" xfId="0" applyFont="1" applyFill="1" applyBorder="1" applyAlignment="1" applyProtection="1">
      <alignment horizontal="center" vertical="center"/>
    </xf>
    <xf numFmtId="0" fontId="23" fillId="10" borderId="9" xfId="0" applyFont="1" applyFill="1" applyBorder="1" applyAlignment="1" applyProtection="1">
      <alignment horizontal="center" vertical="center"/>
    </xf>
    <xf numFmtId="0" fontId="23" fillId="10" borderId="10" xfId="0" applyFont="1" applyFill="1" applyBorder="1" applyAlignment="1" applyProtection="1">
      <alignment horizontal="center" vertical="center"/>
    </xf>
    <xf numFmtId="0" fontId="30" fillId="0" borderId="0" xfId="0" applyFont="1" applyFill="1" applyAlignment="1" applyProtection="1">
      <alignment horizontal="center" vertical="center"/>
    </xf>
    <xf numFmtId="0" fontId="2" fillId="13" borderId="8" xfId="0" applyFont="1" applyFill="1" applyBorder="1" applyAlignment="1" applyProtection="1">
      <alignment horizontal="left" vertical="center"/>
      <protection locked="0"/>
    </xf>
    <xf numFmtId="0" fontId="2" fillId="13" borderId="9" xfId="0" applyFont="1" applyFill="1" applyBorder="1" applyAlignment="1" applyProtection="1">
      <alignment horizontal="left" vertical="center"/>
      <protection locked="0"/>
    </xf>
    <xf numFmtId="0" fontId="2" fillId="13" borderId="10" xfId="0" applyFont="1" applyFill="1" applyBorder="1" applyAlignment="1" applyProtection="1">
      <alignment horizontal="left" vertical="center"/>
      <protection locked="0"/>
    </xf>
    <xf numFmtId="0" fontId="39" fillId="13" borderId="8" xfId="0" applyFont="1" applyFill="1" applyBorder="1" applyAlignment="1" applyProtection="1">
      <alignment horizontal="left" vertical="center"/>
      <protection locked="0"/>
    </xf>
    <xf numFmtId="0" fontId="22" fillId="13" borderId="9" xfId="0" applyFont="1" applyFill="1" applyBorder="1" applyAlignment="1" applyProtection="1">
      <alignment horizontal="left" vertical="center"/>
      <protection locked="0"/>
    </xf>
    <xf numFmtId="0" fontId="22" fillId="13" borderId="10" xfId="0" applyFont="1" applyFill="1" applyBorder="1" applyAlignment="1" applyProtection="1">
      <alignment horizontal="left" vertical="center"/>
      <protection locked="0"/>
    </xf>
    <xf numFmtId="0" fontId="22" fillId="13" borderId="32" xfId="0" applyFont="1" applyFill="1" applyBorder="1" applyAlignment="1" applyProtection="1">
      <alignment horizontal="left" vertical="center"/>
      <protection locked="0"/>
    </xf>
    <xf numFmtId="0" fontId="22" fillId="13" borderId="31" xfId="0" applyFont="1" applyFill="1" applyBorder="1" applyAlignment="1" applyProtection="1">
      <alignment horizontal="left" vertical="center"/>
      <protection locked="0"/>
    </xf>
    <xf numFmtId="0" fontId="22" fillId="13" borderId="35" xfId="0" applyFont="1" applyFill="1" applyBorder="1" applyAlignment="1" applyProtection="1">
      <alignment horizontal="left" vertical="center"/>
      <protection locked="0"/>
    </xf>
    <xf numFmtId="0" fontId="2" fillId="13" borderId="34" xfId="0" applyFont="1" applyFill="1" applyBorder="1" applyAlignment="1" applyProtection="1">
      <alignment horizontal="left" vertical="center"/>
      <protection locked="0"/>
    </xf>
    <xf numFmtId="0" fontId="2" fillId="13" borderId="55" xfId="0" applyFont="1" applyFill="1" applyBorder="1" applyAlignment="1" applyProtection="1">
      <alignment horizontal="left" vertical="center"/>
      <protection locked="0"/>
    </xf>
    <xf numFmtId="0" fontId="2" fillId="13" borderId="37" xfId="0" applyFont="1" applyFill="1" applyBorder="1" applyAlignment="1" applyProtection="1">
      <alignment horizontal="left" vertical="center"/>
      <protection locked="0"/>
    </xf>
    <xf numFmtId="0" fontId="12" fillId="13" borderId="8" xfId="0" applyFont="1" applyFill="1" applyBorder="1" applyAlignment="1" applyProtection="1">
      <alignment horizontal="left" vertical="center"/>
      <protection locked="0"/>
    </xf>
    <xf numFmtId="0" fontId="12" fillId="13" borderId="9" xfId="0" applyFont="1" applyFill="1" applyBorder="1" applyAlignment="1" applyProtection="1">
      <alignment horizontal="left" vertical="center"/>
      <protection locked="0"/>
    </xf>
    <xf numFmtId="0" fontId="12" fillId="13" borderId="10" xfId="0" applyFont="1" applyFill="1" applyBorder="1" applyAlignment="1" applyProtection="1">
      <alignment horizontal="left" vertical="center"/>
      <protection locked="0"/>
    </xf>
    <xf numFmtId="0" fontId="40" fillId="13" borderId="8" xfId="0" applyFont="1" applyFill="1" applyBorder="1" applyAlignment="1" applyProtection="1">
      <alignment horizontal="center" vertical="center"/>
      <protection locked="0"/>
    </xf>
    <xf numFmtId="0" fontId="12" fillId="13" borderId="9" xfId="0" applyFont="1" applyFill="1" applyBorder="1" applyAlignment="1" applyProtection="1">
      <alignment horizontal="center" vertical="center"/>
      <protection locked="0"/>
    </xf>
    <xf numFmtId="0" fontId="20" fillId="0" borderId="70" xfId="0" applyFont="1" applyBorder="1" applyAlignment="1">
      <alignment horizontal="center" vertical="center"/>
    </xf>
    <xf numFmtId="0" fontId="20" fillId="0" borderId="71" xfId="0" applyFont="1" applyBorder="1" applyAlignment="1">
      <alignment horizontal="center" vertical="center"/>
    </xf>
    <xf numFmtId="0" fontId="20" fillId="0" borderId="0" xfId="0" applyFont="1" applyBorder="1" applyAlignment="1">
      <alignment horizontal="center" vertical="center"/>
    </xf>
    <xf numFmtId="0" fontId="20" fillId="0" borderId="73" xfId="0" applyFont="1" applyBorder="1" applyAlignment="1">
      <alignment horizontal="center" vertical="center"/>
    </xf>
    <xf numFmtId="0" fontId="32" fillId="0" borderId="31" xfId="0" applyFont="1" applyBorder="1" applyAlignment="1">
      <alignment horizontal="center" vertical="center"/>
    </xf>
    <xf numFmtId="0" fontId="32" fillId="0" borderId="79" xfId="0" applyFont="1" applyBorder="1" applyAlignment="1">
      <alignment horizontal="center" vertical="center"/>
    </xf>
    <xf numFmtId="0" fontId="32" fillId="0" borderId="0" xfId="0" applyFont="1" applyBorder="1" applyAlignment="1">
      <alignment horizontal="center" vertical="center"/>
    </xf>
    <xf numFmtId="0" fontId="32" fillId="0" borderId="73" xfId="0" applyFont="1" applyBorder="1" applyAlignment="1">
      <alignment horizontal="center" vertical="center"/>
    </xf>
    <xf numFmtId="0" fontId="32" fillId="0" borderId="75" xfId="0" applyFont="1" applyBorder="1" applyAlignment="1">
      <alignment horizontal="center" vertical="center"/>
    </xf>
    <xf numFmtId="0" fontId="32" fillId="0" borderId="76" xfId="0" applyFont="1" applyBorder="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7" fillId="0" borderId="69" xfId="0" applyFont="1" applyBorder="1" applyAlignment="1">
      <alignment horizontal="center" vertical="center" wrapText="1"/>
    </xf>
    <xf numFmtId="0" fontId="17" fillId="0" borderId="70" xfId="0" applyFont="1" applyBorder="1" applyAlignment="1">
      <alignment horizontal="center" vertical="center" wrapText="1"/>
    </xf>
    <xf numFmtId="0" fontId="17" fillId="0" borderId="83" xfId="0" applyFont="1" applyBorder="1" applyAlignment="1">
      <alignment horizontal="center" vertical="center" wrapText="1"/>
    </xf>
    <xf numFmtId="0" fontId="17" fillId="0" borderId="72"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36" xfId="0" applyFont="1" applyBorder="1" applyAlignment="1">
      <alignment horizontal="center" vertical="center" wrapText="1"/>
    </xf>
    <xf numFmtId="0" fontId="17" fillId="0" borderId="78" xfId="0" applyFont="1" applyBorder="1" applyAlignment="1">
      <alignment horizontal="center" vertical="center" wrapText="1"/>
    </xf>
    <xf numFmtId="0" fontId="17" fillId="0" borderId="55" xfId="0" applyFont="1" applyBorder="1" applyAlignment="1">
      <alignment horizontal="center" vertical="center" wrapText="1"/>
    </xf>
    <xf numFmtId="0" fontId="17" fillId="0" borderId="37" xfId="0" applyFont="1" applyBorder="1" applyAlignment="1">
      <alignment horizontal="center" vertical="center" wrapText="1"/>
    </xf>
    <xf numFmtId="0" fontId="20" fillId="0" borderId="56" xfId="0" applyFont="1" applyBorder="1" applyAlignment="1">
      <alignment horizontal="center" vertical="center"/>
    </xf>
    <xf numFmtId="0" fontId="20" fillId="0" borderId="57" xfId="0" applyFont="1" applyBorder="1" applyAlignment="1">
      <alignment horizontal="center" vertical="center"/>
    </xf>
    <xf numFmtId="0" fontId="17" fillId="0" borderId="77" xfId="0" applyFont="1" applyBorder="1" applyAlignment="1">
      <alignment horizontal="center" vertical="center" wrapText="1"/>
    </xf>
    <xf numFmtId="0" fontId="17" fillId="0" borderId="31" xfId="0" applyFont="1" applyBorder="1" applyAlignment="1">
      <alignment horizontal="center" vertical="center" wrapText="1"/>
    </xf>
    <xf numFmtId="0" fontId="17" fillId="0" borderId="35" xfId="0" applyFont="1" applyBorder="1" applyAlignment="1">
      <alignment horizontal="center" vertical="center" wrapText="1"/>
    </xf>
    <xf numFmtId="0" fontId="17" fillId="0" borderId="74" xfId="0" applyFont="1" applyBorder="1" applyAlignment="1">
      <alignment horizontal="center" vertical="center" wrapText="1"/>
    </xf>
    <xf numFmtId="0" fontId="17" fillId="0" borderId="75" xfId="0" applyFont="1" applyBorder="1" applyAlignment="1">
      <alignment horizontal="center" vertical="center" wrapText="1"/>
    </xf>
    <xf numFmtId="0" fontId="17" fillId="0" borderId="82" xfId="0" applyFont="1" applyBorder="1" applyAlignment="1">
      <alignment horizontal="center" vertical="center" wrapText="1"/>
    </xf>
    <xf numFmtId="0" fontId="20" fillId="0" borderId="58" xfId="0" applyFont="1" applyBorder="1" applyAlignment="1">
      <alignment horizontal="center" vertical="center"/>
    </xf>
    <xf numFmtId="0" fontId="2" fillId="7" borderId="8" xfId="0" applyFont="1" applyFill="1" applyBorder="1" applyAlignment="1">
      <alignment horizontal="center" vertical="center"/>
    </xf>
    <xf numFmtId="0" fontId="2" fillId="7" borderId="10" xfId="0" applyFont="1" applyFill="1" applyBorder="1" applyAlignment="1">
      <alignment horizontal="center" vertical="center"/>
    </xf>
    <xf numFmtId="0" fontId="17" fillId="0" borderId="77" xfId="0" applyFont="1" applyBorder="1" applyAlignment="1">
      <alignment horizontal="center" vertical="center"/>
    </xf>
    <xf numFmtId="0" fontId="17" fillId="0" borderId="31" xfId="0" applyFont="1" applyBorder="1" applyAlignment="1">
      <alignment horizontal="center" vertical="center"/>
    </xf>
    <xf numFmtId="0" fontId="17" fillId="0" borderId="35" xfId="0" applyFont="1" applyBorder="1" applyAlignment="1">
      <alignment horizontal="center" vertical="center"/>
    </xf>
    <xf numFmtId="0" fontId="17" fillId="0" borderId="72" xfId="0" applyFont="1" applyBorder="1" applyAlignment="1">
      <alignment horizontal="center" vertical="center"/>
    </xf>
    <xf numFmtId="0" fontId="17" fillId="0" borderId="0" xfId="0" applyFont="1" applyBorder="1" applyAlignment="1">
      <alignment horizontal="center" vertical="center"/>
    </xf>
    <xf numFmtId="0" fontId="17" fillId="0" borderId="36" xfId="0" applyFont="1" applyBorder="1" applyAlignment="1">
      <alignment horizontal="center" vertical="center"/>
    </xf>
    <xf numFmtId="0" fontId="17" fillId="0" borderId="74" xfId="0" applyFont="1" applyBorder="1" applyAlignment="1">
      <alignment horizontal="center" vertical="center"/>
    </xf>
    <xf numFmtId="0" fontId="17" fillId="0" borderId="75" xfId="0" applyFont="1" applyBorder="1" applyAlignment="1">
      <alignment horizontal="center" vertical="center"/>
    </xf>
    <xf numFmtId="0" fontId="17" fillId="0" borderId="82" xfId="0" applyFont="1" applyBorder="1" applyAlignment="1">
      <alignment horizontal="center" vertical="center"/>
    </xf>
    <xf numFmtId="9" fontId="20" fillId="0" borderId="8" xfId="155" applyFont="1" applyBorder="1" applyAlignment="1">
      <alignment horizontal="center" vertical="center"/>
    </xf>
    <xf numFmtId="9" fontId="20" fillId="0" borderId="81" xfId="155" applyFont="1" applyBorder="1" applyAlignment="1">
      <alignment horizontal="center" vertical="center"/>
    </xf>
    <xf numFmtId="0" fontId="17" fillId="0" borderId="69" xfId="0" applyFont="1" applyBorder="1" applyAlignment="1">
      <alignment horizontal="center" vertical="center"/>
    </xf>
    <xf numFmtId="0" fontId="17" fillId="0" borderId="70" xfId="0" applyFont="1" applyBorder="1" applyAlignment="1">
      <alignment horizontal="center" vertical="center"/>
    </xf>
    <xf numFmtId="0" fontId="17" fillId="0" borderId="83" xfId="0" applyFont="1" applyBorder="1" applyAlignment="1">
      <alignment horizontal="center" vertical="center"/>
    </xf>
    <xf numFmtId="0" fontId="17" fillId="0" borderId="78" xfId="0" applyFont="1" applyBorder="1" applyAlignment="1">
      <alignment horizontal="center" vertical="center"/>
    </xf>
    <xf numFmtId="0" fontId="17" fillId="0" borderId="55" xfId="0" applyFont="1" applyBorder="1" applyAlignment="1">
      <alignment horizontal="center" vertical="center"/>
    </xf>
    <xf numFmtId="0" fontId="17" fillId="0" borderId="37" xfId="0" applyFont="1" applyBorder="1" applyAlignment="1">
      <alignment horizontal="center" vertical="center"/>
    </xf>
    <xf numFmtId="9" fontId="20" fillId="0" borderId="80" xfId="155" applyFont="1" applyBorder="1" applyAlignment="1">
      <alignment horizontal="center" vertical="center"/>
    </xf>
    <xf numFmtId="0" fontId="19" fillId="7" borderId="8" xfId="0" applyFont="1" applyFill="1" applyBorder="1" applyAlignment="1">
      <alignment horizontal="center" vertical="center"/>
    </xf>
    <xf numFmtId="0" fontId="19" fillId="7" borderId="10" xfId="0" applyFont="1" applyFill="1" applyBorder="1" applyAlignment="1">
      <alignment horizontal="center" vertical="center"/>
    </xf>
    <xf numFmtId="0" fontId="2" fillId="0" borderId="53" xfId="0" applyFont="1" applyBorder="1" applyAlignment="1" applyProtection="1">
      <alignment horizontal="left" vertical="center" wrapText="1"/>
      <protection locked="0"/>
    </xf>
    <xf numFmtId="0" fontId="2" fillId="0" borderId="54" xfId="0" applyFont="1" applyBorder="1" applyAlignment="1" applyProtection="1">
      <alignment horizontal="left" vertical="center" wrapText="1"/>
      <protection locked="0"/>
    </xf>
    <xf numFmtId="1" fontId="14" fillId="0" borderId="24" xfId="0" applyNumberFormat="1" applyFont="1" applyBorder="1" applyAlignment="1">
      <alignment horizontal="center" vertical="center"/>
    </xf>
    <xf numFmtId="1" fontId="14" fillId="0" borderId="17" xfId="0" applyNumberFormat="1" applyFont="1" applyBorder="1" applyAlignment="1">
      <alignment horizontal="center" vertical="center"/>
    </xf>
    <xf numFmtId="1" fontId="14" fillId="0" borderId="25" xfId="0" applyNumberFormat="1" applyFont="1" applyBorder="1" applyAlignment="1">
      <alignment horizontal="center" vertical="center"/>
    </xf>
    <xf numFmtId="0" fontId="3" fillId="0" borderId="53" xfId="0" applyFont="1" applyBorder="1" applyAlignment="1">
      <alignment horizontal="center" vertical="center" wrapText="1"/>
    </xf>
    <xf numFmtId="0" fontId="3" fillId="0" borderId="54" xfId="0" applyFont="1" applyBorder="1" applyAlignment="1">
      <alignment horizontal="center" vertical="center" wrapText="1"/>
    </xf>
    <xf numFmtId="0" fontId="2" fillId="0" borderId="53" xfId="0" applyFont="1" applyBorder="1" applyAlignment="1">
      <alignment horizontal="left" vertical="center" wrapText="1"/>
    </xf>
    <xf numFmtId="0" fontId="2" fillId="0" borderId="54" xfId="0" applyFont="1" applyBorder="1" applyAlignment="1">
      <alignment horizontal="left" vertical="center" wrapText="1"/>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4" fillId="6"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171" fontId="4" fillId="0" borderId="2" xfId="0" applyNumberFormat="1" applyFont="1" applyBorder="1" applyAlignment="1">
      <alignment horizontal="center" vertical="center" wrapText="1"/>
    </xf>
    <xf numFmtId="171" fontId="4" fillId="0" borderId="3" xfId="0" applyNumberFormat="1" applyFont="1" applyBorder="1" applyAlignment="1">
      <alignment horizontal="center" vertical="center" wrapText="1"/>
    </xf>
    <xf numFmtId="0" fontId="2" fillId="0" borderId="84" xfId="0" applyFont="1" applyBorder="1" applyAlignment="1">
      <alignment horizontal="left" vertical="center" wrapText="1"/>
    </xf>
    <xf numFmtId="0" fontId="2" fillId="0" borderId="85" xfId="0" applyFont="1" applyBorder="1" applyAlignment="1">
      <alignment horizontal="left" vertical="center" wrapText="1"/>
    </xf>
    <xf numFmtId="0" fontId="4" fillId="0" borderId="2" xfId="0" applyFont="1" applyBorder="1" applyAlignment="1">
      <alignment horizontal="left" vertical="center"/>
    </xf>
    <xf numFmtId="0" fontId="4" fillId="0" borderId="7" xfId="0" applyFont="1" applyBorder="1" applyAlignment="1">
      <alignment horizontal="left" vertical="center"/>
    </xf>
    <xf numFmtId="0" fontId="4" fillId="0" borderId="3" xfId="0" applyFont="1" applyBorder="1" applyAlignment="1">
      <alignment horizontal="left" vertical="center"/>
    </xf>
    <xf numFmtId="171" fontId="4" fillId="0" borderId="7" xfId="0" applyNumberFormat="1" applyFont="1" applyBorder="1" applyAlignment="1">
      <alignment horizontal="center" vertical="center" wrapText="1"/>
    </xf>
    <xf numFmtId="0" fontId="4" fillId="6" borderId="7" xfId="0" applyFont="1" applyFill="1" applyBorder="1" applyAlignment="1">
      <alignment horizontal="center" vertical="center" wrapText="1"/>
    </xf>
    <xf numFmtId="0" fontId="4" fillId="0" borderId="2" xfId="0" applyFont="1" applyBorder="1" applyAlignment="1" applyProtection="1">
      <alignment horizontal="left" vertical="center" wrapText="1"/>
      <protection locked="0"/>
    </xf>
    <xf numFmtId="0" fontId="4" fillId="0" borderId="7"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171" fontId="4" fillId="0" borderId="47" xfId="0" applyNumberFormat="1" applyFont="1" applyBorder="1" applyAlignment="1">
      <alignment horizontal="center" vertical="center" wrapText="1"/>
    </xf>
    <xf numFmtId="171" fontId="4" fillId="0" borderId="17" xfId="0" applyNumberFormat="1" applyFont="1" applyBorder="1" applyAlignment="1">
      <alignment horizontal="center" vertical="center" wrapText="1"/>
    </xf>
    <xf numFmtId="171" fontId="4" fillId="0" borderId="48" xfId="0" applyNumberFormat="1" applyFont="1" applyBorder="1" applyAlignment="1">
      <alignment horizontal="center" vertical="center" wrapText="1"/>
    </xf>
    <xf numFmtId="0" fontId="2" fillId="0" borderId="24"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25" xfId="0" applyFont="1" applyBorder="1" applyAlignment="1" applyProtection="1">
      <alignment horizontal="left" vertical="center"/>
      <protection locked="0"/>
    </xf>
    <xf numFmtId="0" fontId="3" fillId="0" borderId="24" xfId="0" applyFont="1" applyBorder="1" applyAlignment="1">
      <alignment horizontal="left" vertical="center"/>
    </xf>
    <xf numFmtId="0" fontId="3" fillId="0" borderId="17" xfId="0" applyFont="1" applyBorder="1" applyAlignment="1">
      <alignment horizontal="left" vertical="center"/>
    </xf>
    <xf numFmtId="0" fontId="3" fillId="0" borderId="25" xfId="0" applyFont="1" applyBorder="1" applyAlignment="1">
      <alignment horizontal="left" vertical="center"/>
    </xf>
    <xf numFmtId="0" fontId="12" fillId="0" borderId="87" xfId="0" applyFont="1" applyBorder="1" applyAlignment="1">
      <alignment horizontal="center" vertical="center" wrapText="1"/>
    </xf>
    <xf numFmtId="0" fontId="12" fillId="0" borderId="88" xfId="0" applyFont="1" applyBorder="1" applyAlignment="1">
      <alignment horizontal="center" vertical="center" wrapText="1"/>
    </xf>
    <xf numFmtId="0" fontId="4" fillId="6" borderId="24" xfId="0" applyFont="1" applyFill="1" applyBorder="1" applyAlignment="1">
      <alignment horizontal="center" vertical="center" wrapText="1"/>
    </xf>
    <xf numFmtId="0" fontId="4" fillId="6" borderId="17" xfId="0" applyFont="1" applyFill="1" applyBorder="1" applyAlignment="1">
      <alignment horizontal="center" vertical="center" wrapText="1"/>
    </xf>
    <xf numFmtId="0" fontId="4" fillId="6" borderId="25" xfId="0" applyFont="1" applyFill="1" applyBorder="1" applyAlignment="1">
      <alignment horizontal="center" vertical="center" wrapText="1"/>
    </xf>
    <xf numFmtId="171" fontId="4" fillId="0" borderId="2" xfId="0" applyNumberFormat="1" applyFont="1" applyFill="1" applyBorder="1" applyAlignment="1">
      <alignment horizontal="center" vertical="center" wrapText="1"/>
    </xf>
    <xf numFmtId="171" fontId="4" fillId="0" borderId="7" xfId="0" applyNumberFormat="1" applyFont="1" applyFill="1" applyBorder="1" applyAlignment="1">
      <alignment horizontal="center" vertical="center" wrapText="1"/>
    </xf>
    <xf numFmtId="171" fontId="4" fillId="0" borderId="3" xfId="0" applyNumberFormat="1" applyFont="1" applyFill="1" applyBorder="1" applyAlignment="1">
      <alignment horizontal="center" vertical="center" wrapText="1"/>
    </xf>
    <xf numFmtId="0" fontId="4" fillId="0" borderId="2" xfId="0" applyFont="1" applyBorder="1" applyAlignment="1" applyProtection="1">
      <alignment vertical="center" wrapText="1"/>
      <protection locked="0"/>
    </xf>
    <xf numFmtId="0" fontId="4" fillId="0" borderId="7" xfId="0" applyFont="1" applyBorder="1" applyAlignment="1" applyProtection="1">
      <alignment vertical="center" wrapText="1"/>
      <protection locked="0"/>
    </xf>
    <xf numFmtId="0" fontId="4" fillId="0" borderId="3" xfId="0" applyFont="1" applyBorder="1" applyAlignment="1" applyProtection="1">
      <alignment vertical="center" wrapText="1"/>
      <protection locked="0"/>
    </xf>
    <xf numFmtId="0" fontId="3" fillId="0" borderId="27" xfId="0" applyFont="1" applyBorder="1" applyAlignment="1">
      <alignment horizontal="left" vertical="center"/>
    </xf>
    <xf numFmtId="0" fontId="3" fillId="0" borderId="7" xfId="0" applyFont="1" applyBorder="1" applyAlignment="1">
      <alignment horizontal="left" vertical="center"/>
    </xf>
    <xf numFmtId="0" fontId="3" fillId="0" borderId="26" xfId="0" applyFont="1" applyBorder="1" applyAlignment="1">
      <alignment horizontal="left" vertical="center"/>
    </xf>
    <xf numFmtId="171" fontId="4" fillId="0" borderId="51" xfId="0" applyNumberFormat="1" applyFont="1" applyBorder="1" applyAlignment="1">
      <alignment horizontal="center" vertical="center" wrapText="1"/>
    </xf>
    <xf numFmtId="171" fontId="4" fillId="0" borderId="45" xfId="0" applyNumberFormat="1" applyFont="1" applyBorder="1" applyAlignment="1">
      <alignment horizontal="center" vertical="center" wrapText="1"/>
    </xf>
    <xf numFmtId="171" fontId="4" fillId="0" borderId="46" xfId="0" applyNumberFormat="1" applyFont="1" applyBorder="1" applyAlignment="1">
      <alignment horizontal="center" vertical="center" wrapText="1"/>
    </xf>
    <xf numFmtId="171" fontId="4" fillId="0" borderId="24" xfId="0" applyNumberFormat="1" applyFont="1" applyFill="1" applyBorder="1" applyAlignment="1">
      <alignment horizontal="center" vertical="center"/>
    </xf>
    <xf numFmtId="171" fontId="4" fillId="0" borderId="17" xfId="0" applyNumberFormat="1" applyFont="1" applyFill="1" applyBorder="1" applyAlignment="1">
      <alignment horizontal="center" vertical="center"/>
    </xf>
    <xf numFmtId="171" fontId="4" fillId="0" borderId="25" xfId="0" applyNumberFormat="1" applyFont="1" applyFill="1" applyBorder="1" applyAlignment="1">
      <alignment horizontal="center" vertical="center"/>
    </xf>
    <xf numFmtId="0" fontId="2" fillId="0" borderId="24" xfId="0" applyFont="1" applyBorder="1" applyAlignment="1" applyProtection="1">
      <alignment vertical="center"/>
      <protection locked="0"/>
    </xf>
    <xf numFmtId="0" fontId="2" fillId="0" borderId="17" xfId="0" applyFont="1" applyBorder="1" applyAlignment="1" applyProtection="1">
      <alignment vertical="center"/>
      <protection locked="0"/>
    </xf>
    <xf numFmtId="0" fontId="2" fillId="0" borderId="25" xfId="0" applyFont="1" applyBorder="1" applyAlignment="1" applyProtection="1">
      <alignment vertical="center"/>
      <protection locked="0"/>
    </xf>
    <xf numFmtId="0" fontId="3" fillId="0" borderId="66" xfId="0" applyFont="1" applyBorder="1" applyAlignment="1">
      <alignment horizontal="left" vertical="center"/>
    </xf>
    <xf numFmtId="0" fontId="3" fillId="0" borderId="39" xfId="0" applyFont="1" applyBorder="1" applyAlignment="1">
      <alignment horizontal="left" vertical="center"/>
    </xf>
    <xf numFmtId="0" fontId="3" fillId="0" borderId="40" xfId="0" applyFont="1" applyBorder="1" applyAlignment="1">
      <alignment horizontal="left" vertical="center"/>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12" fillId="0" borderId="8" xfId="0" applyFont="1" applyBorder="1" applyAlignment="1">
      <alignment horizontal="center" vertical="center" wrapText="1"/>
    </xf>
    <xf numFmtId="0" fontId="12" fillId="0" borderId="16" xfId="0" applyFont="1" applyBorder="1" applyAlignment="1">
      <alignment horizontal="center" vertical="center" wrapText="1"/>
    </xf>
    <xf numFmtId="0" fontId="4" fillId="6" borderId="32" xfId="0" applyFont="1" applyFill="1" applyBorder="1" applyAlignment="1">
      <alignment horizontal="center" vertical="center" wrapText="1"/>
    </xf>
    <xf numFmtId="0" fontId="4" fillId="6" borderId="33" xfId="0" applyFont="1" applyFill="1" applyBorder="1" applyAlignment="1">
      <alignment horizontal="center" vertical="center" wrapText="1"/>
    </xf>
    <xf numFmtId="0" fontId="4" fillId="6" borderId="34" xfId="0" applyFont="1" applyFill="1" applyBorder="1" applyAlignment="1">
      <alignment horizontal="center" vertical="center" wrapText="1"/>
    </xf>
    <xf numFmtId="171" fontId="4" fillId="0" borderId="35" xfId="0" applyNumberFormat="1" applyFont="1" applyBorder="1" applyAlignment="1">
      <alignment horizontal="center" vertical="center" wrapText="1"/>
    </xf>
    <xf numFmtId="171" fontId="4" fillId="0" borderId="36" xfId="0" applyNumberFormat="1" applyFont="1" applyBorder="1" applyAlignment="1">
      <alignment horizontal="center" vertical="center" wrapText="1"/>
    </xf>
    <xf numFmtId="171" fontId="4" fillId="0" borderId="37" xfId="0" applyNumberFormat="1" applyFont="1" applyBorder="1" applyAlignment="1">
      <alignment horizontal="center" vertical="center" wrapText="1"/>
    </xf>
    <xf numFmtId="171" fontId="2" fillId="0" borderId="24" xfId="0" applyNumberFormat="1" applyFont="1" applyFill="1" applyBorder="1" applyAlignment="1">
      <alignment horizontal="center" vertical="center"/>
    </xf>
    <xf numFmtId="171" fontId="2" fillId="0" borderId="17" xfId="0" applyNumberFormat="1" applyFont="1" applyFill="1" applyBorder="1" applyAlignment="1">
      <alignment horizontal="center" vertical="center"/>
    </xf>
    <xf numFmtId="171" fontId="2" fillId="0" borderId="25" xfId="0" applyNumberFormat="1" applyFont="1" applyFill="1" applyBorder="1" applyAlignment="1">
      <alignment horizontal="center" vertical="center"/>
    </xf>
    <xf numFmtId="171" fontId="4" fillId="0" borderId="44" xfId="0" applyNumberFormat="1" applyFont="1" applyBorder="1" applyAlignment="1">
      <alignment horizontal="center" vertical="center" wrapText="1"/>
    </xf>
    <xf numFmtId="171" fontId="4" fillId="0" borderId="38" xfId="0" applyNumberFormat="1" applyFont="1" applyBorder="1" applyAlignment="1">
      <alignment horizontal="center" vertical="center" wrapText="1"/>
    </xf>
    <xf numFmtId="171" fontId="4" fillId="0" borderId="39" xfId="0" applyNumberFormat="1" applyFont="1" applyBorder="1" applyAlignment="1">
      <alignment horizontal="center" vertical="center" wrapText="1"/>
    </xf>
    <xf numFmtId="171" fontId="4" fillId="0" borderId="40" xfId="0" applyNumberFormat="1" applyFont="1" applyBorder="1" applyAlignment="1">
      <alignment horizontal="center" vertical="center" wrapText="1"/>
    </xf>
    <xf numFmtId="171" fontId="4" fillId="0" borderId="24" xfId="0" applyNumberFormat="1" applyFont="1" applyBorder="1" applyAlignment="1">
      <alignment horizontal="center" vertical="center" wrapText="1"/>
    </xf>
    <xf numFmtId="171" fontId="4" fillId="0" borderId="25" xfId="0" applyNumberFormat="1" applyFont="1" applyBorder="1" applyAlignment="1">
      <alignment horizontal="center" vertical="center" wrapText="1"/>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center" vertical="center"/>
    </xf>
    <xf numFmtId="171" fontId="4" fillId="0" borderId="26" xfId="0" applyNumberFormat="1" applyFont="1" applyFill="1" applyBorder="1" applyAlignment="1">
      <alignment horizontal="center" vertical="center" wrapText="1"/>
    </xf>
    <xf numFmtId="0" fontId="3" fillId="0" borderId="38" xfId="0" applyFont="1" applyBorder="1" applyAlignment="1">
      <alignment horizontal="left" vertical="center"/>
    </xf>
    <xf numFmtId="0" fontId="4" fillId="6" borderId="41" xfId="0" applyFont="1" applyFill="1" applyBorder="1" applyAlignment="1">
      <alignment horizontal="center" vertical="center" wrapText="1"/>
    </xf>
    <xf numFmtId="0" fontId="4" fillId="6" borderId="42" xfId="0" applyFont="1" applyFill="1" applyBorder="1" applyAlignment="1">
      <alignment horizontal="center" vertical="center" wrapText="1"/>
    </xf>
    <xf numFmtId="0" fontId="4" fillId="6" borderId="43" xfId="0" applyFont="1" applyFill="1" applyBorder="1" applyAlignment="1">
      <alignment horizontal="center" vertical="center" wrapText="1"/>
    </xf>
    <xf numFmtId="171" fontId="4" fillId="0" borderId="44" xfId="0" applyNumberFormat="1" applyFont="1" applyFill="1" applyBorder="1" applyAlignment="1">
      <alignment horizontal="center" vertical="center" wrapText="1"/>
    </xf>
    <xf numFmtId="171" fontId="4" fillId="0" borderId="45" xfId="0" applyNumberFormat="1" applyFont="1" applyFill="1" applyBorder="1" applyAlignment="1">
      <alignment horizontal="center" vertical="center" wrapText="1"/>
    </xf>
    <xf numFmtId="171" fontId="4" fillId="0" borderId="46" xfId="0" applyNumberFormat="1" applyFont="1" applyFill="1" applyBorder="1" applyAlignment="1">
      <alignment horizontal="center" vertical="center" wrapText="1"/>
    </xf>
    <xf numFmtId="0" fontId="2" fillId="0" borderId="47" xfId="0" applyFont="1" applyBorder="1" applyAlignment="1" applyProtection="1">
      <alignment horizontal="left" vertical="center"/>
      <protection locked="0"/>
    </xf>
    <xf numFmtId="171" fontId="4" fillId="0" borderId="35" xfId="0" applyNumberFormat="1" applyFont="1" applyFill="1" applyBorder="1" applyAlignment="1">
      <alignment horizontal="center" vertical="center" wrapText="1"/>
    </xf>
    <xf numFmtId="171" fontId="4" fillId="0" borderId="36" xfId="0" applyNumberFormat="1" applyFont="1" applyFill="1" applyBorder="1" applyAlignment="1">
      <alignment horizontal="center" vertical="center" wrapText="1"/>
    </xf>
    <xf numFmtId="171" fontId="4" fillId="0" borderId="49" xfId="0" applyNumberFormat="1" applyFont="1" applyFill="1" applyBorder="1" applyAlignment="1">
      <alignment horizontal="center" vertical="center" wrapText="1"/>
    </xf>
    <xf numFmtId="171" fontId="2" fillId="0" borderId="48" xfId="0" applyNumberFormat="1" applyFont="1" applyFill="1" applyBorder="1" applyAlignment="1">
      <alignment horizontal="center" vertical="center"/>
    </xf>
    <xf numFmtId="171" fontId="4" fillId="0" borderId="38" xfId="0" applyNumberFormat="1" applyFont="1" applyFill="1" applyBorder="1" applyAlignment="1">
      <alignment horizontal="center" vertical="center" wrapText="1"/>
    </xf>
    <xf numFmtId="171" fontId="4" fillId="0" borderId="39" xfId="0" applyNumberFormat="1" applyFont="1" applyFill="1" applyBorder="1" applyAlignment="1">
      <alignment horizontal="center" vertical="center" wrapText="1"/>
    </xf>
    <xf numFmtId="171" fontId="4" fillId="0" borderId="40" xfId="0" applyNumberFormat="1" applyFont="1" applyFill="1" applyBorder="1" applyAlignment="1">
      <alignment horizontal="center" vertical="center" wrapText="1"/>
    </xf>
    <xf numFmtId="0" fontId="3" fillId="0" borderId="47" xfId="0" applyFont="1" applyBorder="1" applyAlignment="1">
      <alignment horizontal="center" vertical="center"/>
    </xf>
    <xf numFmtId="0" fontId="3" fillId="0" borderId="17" xfId="0" applyFont="1" applyBorder="1" applyAlignment="1">
      <alignment horizontal="center" vertical="center"/>
    </xf>
    <xf numFmtId="0" fontId="3" fillId="0" borderId="25" xfId="0" applyFont="1" applyBorder="1" applyAlignment="1">
      <alignment horizontal="center" vertical="center"/>
    </xf>
    <xf numFmtId="0" fontId="4" fillId="6" borderId="38" xfId="0" applyFont="1" applyFill="1" applyBorder="1" applyAlignment="1">
      <alignment horizontal="center" vertical="center" wrapText="1"/>
    </xf>
    <xf numFmtId="0" fontId="4" fillId="6" borderId="39" xfId="0" applyFont="1" applyFill="1" applyBorder="1" applyAlignment="1">
      <alignment horizontal="center" vertical="center" wrapText="1"/>
    </xf>
    <xf numFmtId="0" fontId="4" fillId="6" borderId="50" xfId="0" applyFont="1" applyFill="1" applyBorder="1" applyAlignment="1">
      <alignment horizontal="center" vertical="center" wrapText="1"/>
    </xf>
    <xf numFmtId="0" fontId="3" fillId="0" borderId="24" xfId="0" applyFont="1" applyBorder="1" applyAlignment="1">
      <alignment horizontal="center" vertical="center"/>
    </xf>
    <xf numFmtId="0" fontId="3" fillId="0" borderId="48" xfId="0" applyFont="1" applyBorder="1" applyAlignment="1">
      <alignment horizontal="center" vertical="center"/>
    </xf>
    <xf numFmtId="0" fontId="4" fillId="0" borderId="47" xfId="0" applyFont="1" applyBorder="1" applyAlignment="1">
      <alignment horizontal="center" vertical="center"/>
    </xf>
    <xf numFmtId="0" fontId="4" fillId="0" borderId="17" xfId="0" applyFont="1" applyBorder="1" applyAlignment="1">
      <alignment horizontal="center" vertical="center"/>
    </xf>
    <xf numFmtId="0" fontId="4" fillId="0" borderId="48" xfId="0" applyFont="1" applyBorder="1" applyAlignment="1">
      <alignment horizontal="center" vertical="center"/>
    </xf>
    <xf numFmtId="171" fontId="4" fillId="0" borderId="27" xfId="0" applyNumberFormat="1" applyFont="1" applyBorder="1" applyAlignment="1">
      <alignment horizontal="center" vertical="center" wrapText="1"/>
    </xf>
    <xf numFmtId="171" fontId="4" fillId="0" borderId="26" xfId="0" applyNumberFormat="1" applyFont="1" applyBorder="1" applyAlignment="1">
      <alignment horizontal="center" vertical="center" wrapText="1"/>
    </xf>
    <xf numFmtId="0" fontId="2" fillId="0" borderId="48" xfId="0" applyFont="1" applyBorder="1" applyAlignment="1" applyProtection="1">
      <alignment horizontal="left" vertical="center"/>
      <protection locked="0"/>
    </xf>
    <xf numFmtId="171" fontId="4" fillId="0" borderId="52" xfId="0" applyNumberFormat="1"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1" fillId="0" borderId="69" xfId="0" applyFont="1" applyFill="1" applyBorder="1" applyAlignment="1">
      <alignment horizontal="center" vertical="center" wrapText="1"/>
    </xf>
    <xf numFmtId="0" fontId="31" fillId="0" borderId="70" xfId="0" applyFont="1" applyFill="1" applyBorder="1" applyAlignment="1">
      <alignment horizontal="center" vertical="center" wrapText="1"/>
    </xf>
    <xf numFmtId="0" fontId="31" fillId="0" borderId="71" xfId="0" applyFont="1" applyFill="1" applyBorder="1" applyAlignment="1">
      <alignment horizontal="center" vertical="center" wrapText="1"/>
    </xf>
    <xf numFmtId="0" fontId="31" fillId="0" borderId="72"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73" xfId="0" applyFont="1" applyFill="1" applyBorder="1" applyAlignment="1">
      <alignment horizontal="center" vertical="center" wrapText="1"/>
    </xf>
    <xf numFmtId="0" fontId="31" fillId="0" borderId="78" xfId="0" applyFont="1" applyFill="1" applyBorder="1" applyAlignment="1">
      <alignment horizontal="center" vertical="center" wrapText="1"/>
    </xf>
    <xf numFmtId="0" fontId="31" fillId="0" borderId="55" xfId="0" applyFont="1" applyFill="1" applyBorder="1" applyAlignment="1">
      <alignment horizontal="center" vertical="center" wrapText="1"/>
    </xf>
    <xf numFmtId="0" fontId="31" fillId="0" borderId="100" xfId="0" applyFont="1" applyFill="1" applyBorder="1" applyAlignment="1">
      <alignment horizontal="center" vertical="center" wrapText="1"/>
    </xf>
    <xf numFmtId="0" fontId="17" fillId="0" borderId="91" xfId="0" applyFont="1" applyFill="1" applyBorder="1" applyAlignment="1">
      <alignment horizontal="center" vertical="center"/>
    </xf>
    <xf numFmtId="0" fontId="17" fillId="0" borderId="4" xfId="0" applyFont="1" applyFill="1" applyBorder="1" applyAlignment="1">
      <alignment horizontal="center" vertical="center"/>
    </xf>
    <xf numFmtId="170" fontId="20" fillId="0" borderId="57" xfId="155" applyNumberFormat="1" applyFont="1" applyFill="1" applyBorder="1" applyAlignment="1">
      <alignment horizontal="center" vertical="center"/>
    </xf>
    <xf numFmtId="0" fontId="17" fillId="0" borderId="89" xfId="0" applyFont="1" applyFill="1" applyBorder="1" applyAlignment="1">
      <alignment horizontal="center" vertical="center" wrapText="1"/>
    </xf>
    <xf numFmtId="0" fontId="17" fillId="0" borderId="90" xfId="0" applyFont="1" applyFill="1" applyBorder="1" applyAlignment="1">
      <alignment horizontal="center" vertical="center" wrapText="1"/>
    </xf>
    <xf numFmtId="0" fontId="17" fillId="0" borderId="91"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10" xfId="0" applyFont="1" applyFill="1" applyBorder="1" applyAlignment="1">
      <alignment horizontal="center" vertical="center"/>
    </xf>
    <xf numFmtId="9" fontId="20" fillId="0" borderId="56" xfId="0" applyNumberFormat="1" applyFont="1" applyFill="1" applyBorder="1" applyAlignment="1">
      <alignment horizontal="center" vertical="center"/>
    </xf>
    <xf numFmtId="0" fontId="20" fillId="0" borderId="57" xfId="0" applyFont="1" applyFill="1" applyBorder="1" applyAlignment="1">
      <alignment horizontal="center" vertical="center"/>
    </xf>
    <xf numFmtId="0" fontId="2" fillId="0" borderId="94" xfId="0"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0" fontId="2" fillId="0" borderId="10" xfId="0" applyFont="1" applyFill="1" applyBorder="1" applyAlignment="1" applyProtection="1">
      <alignment horizontal="center" vertical="center"/>
      <protection locked="0"/>
    </xf>
    <xf numFmtId="0" fontId="2" fillId="0" borderId="34" xfId="0" applyFont="1" applyFill="1" applyBorder="1" applyAlignment="1" applyProtection="1">
      <alignment horizontal="center" vertical="center"/>
      <protection locked="0"/>
    </xf>
    <xf numFmtId="0" fontId="2" fillId="0" borderId="55" xfId="0" applyFont="1" applyFill="1" applyBorder="1" applyAlignment="1" applyProtection="1">
      <alignment horizontal="center" vertical="center"/>
      <protection locked="0"/>
    </xf>
    <xf numFmtId="0" fontId="2" fillId="0" borderId="37" xfId="0" applyFont="1" applyFill="1" applyBorder="1" applyAlignment="1" applyProtection="1">
      <alignment horizontal="center" vertical="center"/>
      <protection locked="0"/>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17" fillId="0" borderId="91"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92" xfId="0" applyFont="1" applyBorder="1" applyAlignment="1">
      <alignment horizontal="center" vertical="center" wrapText="1"/>
    </xf>
    <xf numFmtId="0" fontId="17" fillId="0" borderId="93" xfId="0" applyFont="1" applyBorder="1" applyAlignment="1">
      <alignment horizontal="center" vertical="center" wrapText="1"/>
    </xf>
    <xf numFmtId="0" fontId="32" fillId="0" borderId="91" xfId="0" applyFont="1" applyFill="1" applyBorder="1" applyAlignment="1">
      <alignment horizontal="center" vertical="center"/>
    </xf>
    <xf numFmtId="0" fontId="32" fillId="0" borderId="4" xfId="0" applyFont="1" applyFill="1" applyBorder="1" applyAlignment="1">
      <alignment horizontal="center" vertical="center"/>
    </xf>
    <xf numFmtId="0" fontId="32" fillId="0" borderId="57" xfId="0" applyFont="1" applyFill="1" applyBorder="1" applyAlignment="1">
      <alignment horizontal="center" vertical="center"/>
    </xf>
    <xf numFmtId="0" fontId="32" fillId="0" borderId="92" xfId="0" applyFont="1" applyFill="1" applyBorder="1" applyAlignment="1">
      <alignment horizontal="center" vertical="center"/>
    </xf>
    <xf numFmtId="0" fontId="32" fillId="0" borderId="93" xfId="0" applyFont="1" applyFill="1" applyBorder="1" applyAlignment="1">
      <alignment horizontal="center" vertical="center"/>
    </xf>
    <xf numFmtId="0" fontId="32" fillId="0" borderId="58" xfId="0" applyFont="1" applyFill="1" applyBorder="1" applyAlignment="1">
      <alignment horizontal="center" vertical="center"/>
    </xf>
  </cellXfs>
  <cellStyles count="1900">
    <cellStyle name="Besuchter Hyperlink" xfId="2" builtinId="9" hidden="1"/>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20" builtinId="9" hidden="1"/>
    <cellStyle name="Besuchter Hyperlink" xfId="22" builtinId="9" hidden="1"/>
    <cellStyle name="Besuchter Hyperlink" xfId="24" builtinId="9" hidden="1"/>
    <cellStyle name="Besuchter Hyperlink" xfId="26" builtinId="9" hidden="1"/>
    <cellStyle name="Besuchter Hyperlink" xfId="28" builtinId="9" hidden="1"/>
    <cellStyle name="Besuchter Hyperlink" xfId="30" builtinId="9" hidden="1"/>
    <cellStyle name="Besuchter Hyperlink" xfId="32" builtinId="9" hidden="1"/>
    <cellStyle name="Besuchter Hyperlink" xfId="34" builtinId="9" hidden="1"/>
    <cellStyle name="Besuchter Hyperlink" xfId="36" builtinId="9" hidden="1"/>
    <cellStyle name="Besuchter Hyperlink" xfId="38" builtinId="9" hidden="1"/>
    <cellStyle name="Besuchter Hyperlink" xfId="40" builtinId="9" hidden="1"/>
    <cellStyle name="Besuchter Hyperlink" xfId="42" builtinId="9" hidden="1"/>
    <cellStyle name="Besuchter Hyperlink" xfId="44" builtinId="9" hidden="1"/>
    <cellStyle name="Besuchter Hyperlink" xfId="46" builtinId="9" hidden="1"/>
    <cellStyle name="Besuchter Hyperlink" xfId="48" builtinId="9" hidden="1"/>
    <cellStyle name="Besuchter Hyperlink" xfId="50" builtinId="9" hidden="1"/>
    <cellStyle name="Besuchter Hyperlink" xfId="52" builtinId="9" hidden="1"/>
    <cellStyle name="Besuchter Hyperlink" xfId="54" builtinId="9" hidden="1"/>
    <cellStyle name="Besuchter Hyperlink" xfId="56" builtinId="9" hidden="1"/>
    <cellStyle name="Besuchter Hyperlink" xfId="58" builtinId="9" hidden="1"/>
    <cellStyle name="Besuchter Hyperlink" xfId="60" builtinId="9" hidden="1"/>
    <cellStyle name="Besuchter Hyperlink" xfId="62" builtinId="9" hidden="1"/>
    <cellStyle name="Besuchter Hyperlink" xfId="64" builtinId="9" hidden="1"/>
    <cellStyle name="Besuchter Hyperlink" xfId="66" builtinId="9" hidden="1"/>
    <cellStyle name="Besuchter Hyperlink" xfId="68" builtinId="9" hidden="1"/>
    <cellStyle name="Besuchter Hyperlink" xfId="70" builtinId="9" hidden="1"/>
    <cellStyle name="Besuchter Hyperlink" xfId="72" builtinId="9" hidden="1"/>
    <cellStyle name="Besuchter Hyperlink" xfId="74" builtinId="9" hidden="1"/>
    <cellStyle name="Besuchter Hyperlink" xfId="76" builtinId="9" hidden="1"/>
    <cellStyle name="Besuchter Hyperlink" xfId="78" builtinId="9" hidden="1"/>
    <cellStyle name="Besuchter Hyperlink" xfId="80" builtinId="9" hidden="1"/>
    <cellStyle name="Besuchter Hyperlink" xfId="82" builtinId="9" hidden="1"/>
    <cellStyle name="Besuchter Hyperlink" xfId="84" builtinId="9" hidden="1"/>
    <cellStyle name="Besuchter Hyperlink" xfId="86" builtinId="9" hidden="1"/>
    <cellStyle name="Besuchter Hyperlink" xfId="88" builtinId="9" hidden="1"/>
    <cellStyle name="Besuchter Hyperlink" xfId="90" builtinId="9" hidden="1"/>
    <cellStyle name="Besuchter Hyperlink" xfId="92" builtinId="9" hidden="1"/>
    <cellStyle name="Besuchter Hyperlink" xfId="94" builtinId="9" hidden="1"/>
    <cellStyle name="Besuchter Hyperlink" xfId="96" builtinId="9" hidden="1"/>
    <cellStyle name="Besuchter Hyperlink" xfId="98" builtinId="9" hidden="1"/>
    <cellStyle name="Besuchter Hyperlink" xfId="100" builtinId="9" hidden="1"/>
    <cellStyle name="Besuchter Hyperlink" xfId="102" builtinId="9" hidden="1"/>
    <cellStyle name="Besuchter Hyperlink" xfId="104" builtinId="9" hidden="1"/>
    <cellStyle name="Besuchter Hyperlink" xfId="106" builtinId="9" hidden="1"/>
    <cellStyle name="Besuchter Hyperlink" xfId="108" builtinId="9" hidden="1"/>
    <cellStyle name="Besuchter Hyperlink" xfId="110" builtinId="9" hidden="1"/>
    <cellStyle name="Besuchter Hyperlink" xfId="112" builtinId="9" hidden="1"/>
    <cellStyle name="Besuchter Hyperlink" xfId="114" builtinId="9" hidden="1"/>
    <cellStyle name="Besuchter Hyperlink" xfId="116" builtinId="9" hidden="1"/>
    <cellStyle name="Besuchter Hyperlink" xfId="118" builtinId="9" hidden="1"/>
    <cellStyle name="Besuchter Hyperlink" xfId="120" builtinId="9" hidden="1"/>
    <cellStyle name="Besuchter Hyperlink" xfId="122" builtinId="9" hidden="1"/>
    <cellStyle name="Besuchter Hyperlink" xfId="124" builtinId="9" hidden="1"/>
    <cellStyle name="Besuchter Hyperlink" xfId="126" builtinId="9" hidden="1"/>
    <cellStyle name="Besuchter Hyperlink" xfId="128" builtinId="9" hidden="1"/>
    <cellStyle name="Besuchter Hyperlink" xfId="130" builtinId="9" hidden="1"/>
    <cellStyle name="Besuchter Hyperlink" xfId="132" builtinId="9" hidden="1"/>
    <cellStyle name="Besuchter Hyperlink" xfId="134" builtinId="9" hidden="1"/>
    <cellStyle name="Besuchter Hyperlink" xfId="136" builtinId="9" hidden="1"/>
    <cellStyle name="Besuchter Hyperlink" xfId="138" builtinId="9" hidden="1"/>
    <cellStyle name="Besuchter Hyperlink" xfId="140" builtinId="9" hidden="1"/>
    <cellStyle name="Besuchter Hyperlink" xfId="142" builtinId="9" hidden="1"/>
    <cellStyle name="Besuchter Hyperlink" xfId="144" builtinId="9" hidden="1"/>
    <cellStyle name="Besuchter Hyperlink" xfId="146" builtinId="9" hidden="1"/>
    <cellStyle name="Besuchter Hyperlink" xfId="148" builtinId="9" hidden="1"/>
    <cellStyle name="Besuchter Hyperlink" xfId="150" builtinId="9" hidden="1"/>
    <cellStyle name="Besuchter Hyperlink" xfId="152" builtinId="9" hidden="1"/>
    <cellStyle name="Besuchter Hyperlink" xfId="154" builtinId="9" hidden="1"/>
    <cellStyle name="Besuchter Hyperlink" xfId="157" builtinId="9" hidden="1"/>
    <cellStyle name="Besuchter Hyperlink" xfId="159" builtinId="9" hidden="1"/>
    <cellStyle name="Besuchter Hyperlink" xfId="161" builtinId="9" hidden="1"/>
    <cellStyle name="Besuchter Hyperlink" xfId="163" builtinId="9" hidden="1"/>
    <cellStyle name="Besuchter Hyperlink" xfId="165" builtinId="9" hidden="1"/>
    <cellStyle name="Besuchter Hyperlink" xfId="167" builtinId="9" hidden="1"/>
    <cellStyle name="Besuchter Hyperlink" xfId="169" builtinId="9" hidden="1"/>
    <cellStyle name="Besuchter Hyperlink" xfId="171" builtinId="9" hidden="1"/>
    <cellStyle name="Besuchter Hyperlink" xfId="173" builtinId="9" hidden="1"/>
    <cellStyle name="Besuchter Hyperlink" xfId="175" builtinId="9" hidden="1"/>
    <cellStyle name="Besuchter Hyperlink" xfId="177" builtinId="9" hidden="1"/>
    <cellStyle name="Besuchter Hyperlink" xfId="179" builtinId="9" hidden="1"/>
    <cellStyle name="Besuchter Hyperlink" xfId="181" builtinId="9" hidden="1"/>
    <cellStyle name="Besuchter Hyperlink" xfId="183" builtinId="9" hidden="1"/>
    <cellStyle name="Besuchter Hyperlink" xfId="185" builtinId="9" hidden="1"/>
    <cellStyle name="Besuchter Hyperlink" xfId="187" builtinId="9" hidden="1"/>
    <cellStyle name="Besuchter Hyperlink" xfId="189" builtinId="9" hidden="1"/>
    <cellStyle name="Besuchter Hyperlink" xfId="191" builtinId="9" hidden="1"/>
    <cellStyle name="Besuchter Hyperlink" xfId="193" builtinId="9" hidden="1"/>
    <cellStyle name="Besuchter Hyperlink" xfId="195" builtinId="9" hidden="1"/>
    <cellStyle name="Besuchter Hyperlink" xfId="197" builtinId="9" hidden="1"/>
    <cellStyle name="Besuchter Hyperlink" xfId="199" builtinId="9" hidden="1"/>
    <cellStyle name="Besuchter Hyperlink" xfId="201" builtinId="9" hidden="1"/>
    <cellStyle name="Besuchter Hyperlink" xfId="203" builtinId="9" hidden="1"/>
    <cellStyle name="Besuchter Hyperlink" xfId="205" builtinId="9" hidden="1"/>
    <cellStyle name="Besuchter Hyperlink" xfId="207" builtinId="9" hidden="1"/>
    <cellStyle name="Besuchter Hyperlink" xfId="209" builtinId="9" hidden="1"/>
    <cellStyle name="Besuchter Hyperlink" xfId="211" builtinId="9" hidden="1"/>
    <cellStyle name="Besuchter Hyperlink" xfId="213" builtinId="9" hidden="1"/>
    <cellStyle name="Besuchter Hyperlink" xfId="215" builtinId="9" hidden="1"/>
    <cellStyle name="Besuchter Hyperlink" xfId="217" builtinId="9" hidden="1"/>
    <cellStyle name="Besuchter Hyperlink" xfId="219" builtinId="9" hidden="1"/>
    <cellStyle name="Besuchter Hyperlink" xfId="221" builtinId="9" hidden="1"/>
    <cellStyle name="Besuchter Hyperlink" xfId="223" builtinId="9" hidden="1"/>
    <cellStyle name="Besuchter Hyperlink" xfId="225" builtinId="9" hidden="1"/>
    <cellStyle name="Besuchter Hyperlink" xfId="227" builtinId="9" hidden="1"/>
    <cellStyle name="Besuchter Hyperlink" xfId="229" builtinId="9" hidden="1"/>
    <cellStyle name="Besuchter Hyperlink" xfId="231" builtinId="9" hidden="1"/>
    <cellStyle name="Besuchter Hyperlink" xfId="233" builtinId="9" hidden="1"/>
    <cellStyle name="Besuchter Hyperlink" xfId="235" builtinId="9" hidden="1"/>
    <cellStyle name="Besuchter Hyperlink" xfId="237" builtinId="9" hidden="1"/>
    <cellStyle name="Besuchter Hyperlink" xfId="239" builtinId="9" hidden="1"/>
    <cellStyle name="Besuchter Hyperlink" xfId="241" builtinId="9" hidden="1"/>
    <cellStyle name="Besuchter Hyperlink" xfId="243" builtinId="9" hidden="1"/>
    <cellStyle name="Besuchter Hyperlink" xfId="245" builtinId="9" hidden="1"/>
    <cellStyle name="Besuchter Hyperlink" xfId="247" builtinId="9" hidden="1"/>
    <cellStyle name="Besuchter Hyperlink" xfId="249" builtinId="9" hidden="1"/>
    <cellStyle name="Besuchter Hyperlink" xfId="251" builtinId="9" hidden="1"/>
    <cellStyle name="Besuchter Hyperlink" xfId="253" builtinId="9" hidden="1"/>
    <cellStyle name="Besuchter Hyperlink" xfId="255" builtinId="9" hidden="1"/>
    <cellStyle name="Besuchter Hyperlink" xfId="257" builtinId="9" hidden="1"/>
    <cellStyle name="Besuchter Hyperlink" xfId="259" builtinId="9" hidden="1"/>
    <cellStyle name="Besuchter Hyperlink" xfId="261" builtinId="9" hidden="1"/>
    <cellStyle name="Besuchter Hyperlink" xfId="263" builtinId="9" hidden="1"/>
    <cellStyle name="Besuchter Hyperlink" xfId="265" builtinId="9" hidden="1"/>
    <cellStyle name="Besuchter Hyperlink" xfId="267" builtinId="9" hidden="1"/>
    <cellStyle name="Besuchter Hyperlink" xfId="269" builtinId="9" hidden="1"/>
    <cellStyle name="Besuchter Hyperlink" xfId="271" builtinId="9" hidden="1"/>
    <cellStyle name="Besuchter Hyperlink" xfId="273" builtinId="9" hidden="1"/>
    <cellStyle name="Besuchter Hyperlink" xfId="275" builtinId="9" hidden="1"/>
    <cellStyle name="Besuchter Hyperlink" xfId="277" builtinId="9" hidden="1"/>
    <cellStyle name="Besuchter Hyperlink" xfId="279" builtinId="9" hidden="1"/>
    <cellStyle name="Besuchter Hyperlink" xfId="281" builtinId="9" hidden="1"/>
    <cellStyle name="Besuchter Hyperlink" xfId="283" builtinId="9" hidden="1"/>
    <cellStyle name="Besuchter Hyperlink" xfId="285" builtinId="9" hidden="1"/>
    <cellStyle name="Besuchter Hyperlink" xfId="287" builtinId="9" hidden="1"/>
    <cellStyle name="Besuchter Hyperlink" xfId="289" builtinId="9" hidden="1"/>
    <cellStyle name="Besuchter Hyperlink" xfId="291" builtinId="9" hidden="1"/>
    <cellStyle name="Besuchter Hyperlink" xfId="293" builtinId="9" hidden="1"/>
    <cellStyle name="Besuchter Hyperlink" xfId="295" builtinId="9" hidden="1"/>
    <cellStyle name="Besuchter Hyperlink" xfId="297" builtinId="9" hidden="1"/>
    <cellStyle name="Besuchter Hyperlink" xfId="299" builtinId="9" hidden="1"/>
    <cellStyle name="Besuchter Hyperlink" xfId="301" builtinId="9" hidden="1"/>
    <cellStyle name="Besuchter Hyperlink" xfId="303" builtinId="9" hidden="1"/>
    <cellStyle name="Besuchter Hyperlink" xfId="305" builtinId="9" hidden="1"/>
    <cellStyle name="Besuchter Hyperlink" xfId="307" builtinId="9" hidden="1"/>
    <cellStyle name="Besuchter Hyperlink" xfId="309" builtinId="9" hidden="1"/>
    <cellStyle name="Besuchter Hyperlink" xfId="311" builtinId="9" hidden="1"/>
    <cellStyle name="Besuchter Hyperlink" xfId="313" builtinId="9" hidden="1"/>
    <cellStyle name="Besuchter Hyperlink" xfId="315" builtinId="9" hidden="1"/>
    <cellStyle name="Besuchter Hyperlink" xfId="317" builtinId="9" hidden="1"/>
    <cellStyle name="Besuchter Hyperlink" xfId="319" builtinId="9" hidden="1"/>
    <cellStyle name="Besuchter Hyperlink" xfId="321" builtinId="9" hidden="1"/>
    <cellStyle name="Besuchter Hyperlink" xfId="323" builtinId="9" hidden="1"/>
    <cellStyle name="Besuchter Hyperlink" xfId="325" builtinId="9" hidden="1"/>
    <cellStyle name="Besuchter Hyperlink" xfId="327" builtinId="9" hidden="1"/>
    <cellStyle name="Besuchter Hyperlink" xfId="329" builtinId="9" hidden="1"/>
    <cellStyle name="Besuchter Hyperlink" xfId="331" builtinId="9" hidden="1"/>
    <cellStyle name="Besuchter Hyperlink" xfId="333" builtinId="9" hidden="1"/>
    <cellStyle name="Besuchter Hyperlink" xfId="335" builtinId="9" hidden="1"/>
    <cellStyle name="Besuchter Hyperlink" xfId="337" builtinId="9" hidden="1"/>
    <cellStyle name="Besuchter Hyperlink" xfId="339" builtinId="9" hidden="1"/>
    <cellStyle name="Besuchter Hyperlink" xfId="341" builtinId="9" hidden="1"/>
    <cellStyle name="Besuchter Hyperlink" xfId="343" builtinId="9" hidden="1"/>
    <cellStyle name="Besuchter Hyperlink" xfId="345" builtinId="9" hidden="1"/>
    <cellStyle name="Besuchter Hyperlink" xfId="347" builtinId="9" hidden="1"/>
    <cellStyle name="Besuchter Hyperlink" xfId="349" builtinId="9" hidden="1"/>
    <cellStyle name="Besuchter Hyperlink" xfId="351" builtinId="9" hidden="1"/>
    <cellStyle name="Besuchter Hyperlink" xfId="353" builtinId="9" hidden="1"/>
    <cellStyle name="Besuchter Hyperlink" xfId="355" builtinId="9" hidden="1"/>
    <cellStyle name="Besuchter Hyperlink" xfId="357" builtinId="9" hidden="1"/>
    <cellStyle name="Besuchter Hyperlink" xfId="359" builtinId="9" hidden="1"/>
    <cellStyle name="Besuchter Hyperlink" xfId="361" builtinId="9" hidden="1"/>
    <cellStyle name="Besuchter Hyperlink" xfId="363" builtinId="9" hidden="1"/>
    <cellStyle name="Besuchter Hyperlink" xfId="365" builtinId="9" hidden="1"/>
    <cellStyle name="Besuchter Hyperlink" xfId="367" builtinId="9" hidden="1"/>
    <cellStyle name="Besuchter Hyperlink" xfId="369" builtinId="9" hidden="1"/>
    <cellStyle name="Besuchter Hyperlink" xfId="371" builtinId="9" hidden="1"/>
    <cellStyle name="Besuchter Hyperlink" xfId="373" builtinId="9" hidden="1"/>
    <cellStyle name="Besuchter Hyperlink" xfId="375" builtinId="9" hidden="1"/>
    <cellStyle name="Besuchter Hyperlink" xfId="377" builtinId="9" hidden="1"/>
    <cellStyle name="Besuchter Hyperlink" xfId="379" builtinId="9" hidden="1"/>
    <cellStyle name="Besuchter Hyperlink" xfId="381" builtinId="9" hidden="1"/>
    <cellStyle name="Besuchter Hyperlink" xfId="383" builtinId="9" hidden="1"/>
    <cellStyle name="Besuchter Hyperlink" xfId="385" builtinId="9" hidden="1"/>
    <cellStyle name="Besuchter Hyperlink" xfId="387" builtinId="9" hidden="1"/>
    <cellStyle name="Besuchter Hyperlink" xfId="389" builtinId="9" hidden="1"/>
    <cellStyle name="Besuchter Hyperlink" xfId="391" builtinId="9" hidden="1"/>
    <cellStyle name="Besuchter Hyperlink" xfId="393" builtinId="9" hidden="1"/>
    <cellStyle name="Besuchter Hyperlink" xfId="395" builtinId="9" hidden="1"/>
    <cellStyle name="Besuchter Hyperlink" xfId="397" builtinId="9" hidden="1"/>
    <cellStyle name="Besuchter Hyperlink" xfId="399" builtinId="9" hidden="1"/>
    <cellStyle name="Besuchter Hyperlink" xfId="401" builtinId="9" hidden="1"/>
    <cellStyle name="Besuchter Hyperlink" xfId="403" builtinId="9" hidden="1"/>
    <cellStyle name="Besuchter Hyperlink" xfId="405" builtinId="9" hidden="1"/>
    <cellStyle name="Besuchter Hyperlink" xfId="407" builtinId="9" hidden="1"/>
    <cellStyle name="Besuchter Hyperlink" xfId="409" builtinId="9" hidden="1"/>
    <cellStyle name="Besuchter Hyperlink" xfId="411" builtinId="9" hidden="1"/>
    <cellStyle name="Besuchter Hyperlink" xfId="413" builtinId="9" hidden="1"/>
    <cellStyle name="Besuchter Hyperlink" xfId="415" builtinId="9" hidden="1"/>
    <cellStyle name="Besuchter Hyperlink" xfId="417" builtinId="9" hidden="1"/>
    <cellStyle name="Besuchter Hyperlink" xfId="419" builtinId="9" hidden="1"/>
    <cellStyle name="Besuchter Hyperlink" xfId="421" builtinId="9" hidden="1"/>
    <cellStyle name="Besuchter Hyperlink" xfId="423" builtinId="9" hidden="1"/>
    <cellStyle name="Besuchter Hyperlink" xfId="425" builtinId="9" hidden="1"/>
    <cellStyle name="Besuchter Hyperlink" xfId="427" builtinId="9" hidden="1"/>
    <cellStyle name="Besuchter Hyperlink" xfId="429" builtinId="9" hidden="1"/>
    <cellStyle name="Besuchter Hyperlink" xfId="431" builtinId="9" hidden="1"/>
    <cellStyle name="Besuchter Hyperlink" xfId="433" builtinId="9" hidden="1"/>
    <cellStyle name="Besuchter Hyperlink" xfId="435" builtinId="9" hidden="1"/>
    <cellStyle name="Besuchter Hyperlink" xfId="437" builtinId="9" hidden="1"/>
    <cellStyle name="Besuchter Hyperlink" xfId="439" builtinId="9" hidden="1"/>
    <cellStyle name="Besuchter Hyperlink" xfId="441" builtinId="9" hidden="1"/>
    <cellStyle name="Besuchter Hyperlink" xfId="443" builtinId="9" hidden="1"/>
    <cellStyle name="Besuchter Hyperlink" xfId="445" builtinId="9" hidden="1"/>
    <cellStyle name="Besuchter Hyperlink" xfId="447" builtinId="9" hidden="1"/>
    <cellStyle name="Besuchter Hyperlink" xfId="449" builtinId="9" hidden="1"/>
    <cellStyle name="Besuchter Hyperlink" xfId="451" builtinId="9" hidden="1"/>
    <cellStyle name="Besuchter Hyperlink" xfId="453" builtinId="9" hidden="1"/>
    <cellStyle name="Besuchter Hyperlink" xfId="455" builtinId="9" hidden="1"/>
    <cellStyle name="Besuchter Hyperlink" xfId="457" builtinId="9" hidden="1"/>
    <cellStyle name="Besuchter Hyperlink" xfId="459" builtinId="9" hidden="1"/>
    <cellStyle name="Besuchter Hyperlink" xfId="461" builtinId="9" hidden="1"/>
    <cellStyle name="Besuchter Hyperlink" xfId="463" builtinId="9" hidden="1"/>
    <cellStyle name="Besuchter Hyperlink" xfId="465" builtinId="9" hidden="1"/>
    <cellStyle name="Besuchter Hyperlink" xfId="467" builtinId="9" hidden="1"/>
    <cellStyle name="Besuchter Hyperlink" xfId="469" builtinId="9" hidden="1"/>
    <cellStyle name="Besuchter Hyperlink" xfId="471" builtinId="9" hidden="1"/>
    <cellStyle name="Besuchter Hyperlink" xfId="473" builtinId="9" hidden="1"/>
    <cellStyle name="Besuchter Hyperlink" xfId="475" builtinId="9" hidden="1"/>
    <cellStyle name="Besuchter Hyperlink" xfId="477" builtinId="9" hidden="1"/>
    <cellStyle name="Besuchter Hyperlink" xfId="479" builtinId="9" hidden="1"/>
    <cellStyle name="Besuchter Hyperlink" xfId="481" builtinId="9" hidden="1"/>
    <cellStyle name="Besuchter Hyperlink" xfId="483" builtinId="9" hidden="1"/>
    <cellStyle name="Besuchter Hyperlink" xfId="485" builtinId="9" hidden="1"/>
    <cellStyle name="Besuchter Hyperlink" xfId="487" builtinId="9" hidden="1"/>
    <cellStyle name="Besuchter Hyperlink" xfId="489" builtinId="9" hidden="1"/>
    <cellStyle name="Besuchter Hyperlink" xfId="491" builtinId="9" hidden="1"/>
    <cellStyle name="Besuchter Hyperlink" xfId="493" builtinId="9" hidden="1"/>
    <cellStyle name="Besuchter Hyperlink" xfId="495" builtinId="9" hidden="1"/>
    <cellStyle name="Besuchter Hyperlink" xfId="497" builtinId="9" hidden="1"/>
    <cellStyle name="Besuchter Hyperlink" xfId="499" builtinId="9" hidden="1"/>
    <cellStyle name="Besuchter Hyperlink" xfId="501" builtinId="9" hidden="1"/>
    <cellStyle name="Besuchter Hyperlink" xfId="503" builtinId="9" hidden="1"/>
    <cellStyle name="Besuchter Hyperlink" xfId="505" builtinId="9" hidden="1"/>
    <cellStyle name="Besuchter Hyperlink" xfId="507" builtinId="9" hidden="1"/>
    <cellStyle name="Besuchter Hyperlink" xfId="509" builtinId="9" hidden="1"/>
    <cellStyle name="Besuchter Hyperlink" xfId="511" builtinId="9" hidden="1"/>
    <cellStyle name="Besuchter Hyperlink" xfId="513" builtinId="9" hidden="1"/>
    <cellStyle name="Besuchter Hyperlink" xfId="515" builtinId="9" hidden="1"/>
    <cellStyle name="Besuchter Hyperlink" xfId="517" builtinId="9" hidden="1"/>
    <cellStyle name="Besuchter Hyperlink" xfId="519" builtinId="9" hidden="1"/>
    <cellStyle name="Besuchter Hyperlink" xfId="521" builtinId="9" hidden="1"/>
    <cellStyle name="Besuchter Hyperlink" xfId="523" builtinId="9" hidden="1"/>
    <cellStyle name="Besuchter Hyperlink" xfId="525" builtinId="9" hidden="1"/>
    <cellStyle name="Besuchter Hyperlink" xfId="527" builtinId="9" hidden="1"/>
    <cellStyle name="Besuchter Hyperlink" xfId="529" builtinId="9" hidden="1"/>
    <cellStyle name="Besuchter Hyperlink" xfId="531" builtinId="9" hidden="1"/>
    <cellStyle name="Besuchter Hyperlink" xfId="533" builtinId="9" hidden="1"/>
    <cellStyle name="Besuchter Hyperlink" xfId="535" builtinId="9" hidden="1"/>
    <cellStyle name="Besuchter Hyperlink" xfId="537" builtinId="9" hidden="1"/>
    <cellStyle name="Besuchter Hyperlink" xfId="539" builtinId="9" hidden="1"/>
    <cellStyle name="Besuchter Hyperlink" xfId="541" builtinId="9" hidden="1"/>
    <cellStyle name="Besuchter Hyperlink" xfId="543" builtinId="9" hidden="1"/>
    <cellStyle name="Besuchter Hyperlink" xfId="545" builtinId="9" hidden="1"/>
    <cellStyle name="Besuchter Hyperlink" xfId="547" builtinId="9" hidden="1"/>
    <cellStyle name="Besuchter Hyperlink" xfId="549" builtinId="9" hidden="1"/>
    <cellStyle name="Besuchter Hyperlink" xfId="551" builtinId="9" hidden="1"/>
    <cellStyle name="Besuchter Hyperlink" xfId="553" builtinId="9" hidden="1"/>
    <cellStyle name="Besuchter Hyperlink" xfId="555" builtinId="9" hidden="1"/>
    <cellStyle name="Besuchter Hyperlink" xfId="557" builtinId="9" hidden="1"/>
    <cellStyle name="Besuchter Hyperlink" xfId="559" builtinId="9" hidden="1"/>
    <cellStyle name="Besuchter Hyperlink" xfId="561" builtinId="9" hidden="1"/>
    <cellStyle name="Besuchter Hyperlink" xfId="563" builtinId="9" hidden="1"/>
    <cellStyle name="Besuchter Hyperlink" xfId="565" builtinId="9" hidden="1"/>
    <cellStyle name="Besuchter Hyperlink" xfId="567" builtinId="9" hidden="1"/>
    <cellStyle name="Besuchter Hyperlink" xfId="569" builtinId="9" hidden="1"/>
    <cellStyle name="Besuchter Hyperlink" xfId="571" builtinId="9" hidden="1"/>
    <cellStyle name="Besuchter Hyperlink" xfId="573" builtinId="9" hidden="1"/>
    <cellStyle name="Besuchter Hyperlink" xfId="575" builtinId="9" hidden="1"/>
    <cellStyle name="Besuchter Hyperlink" xfId="577" builtinId="9" hidden="1"/>
    <cellStyle name="Besuchter Hyperlink" xfId="579" builtinId="9" hidden="1"/>
    <cellStyle name="Besuchter Hyperlink" xfId="581" builtinId="9" hidden="1"/>
    <cellStyle name="Besuchter Hyperlink" xfId="583" builtinId="9" hidden="1"/>
    <cellStyle name="Besuchter Hyperlink" xfId="585" builtinId="9" hidden="1"/>
    <cellStyle name="Besuchter Hyperlink" xfId="587" builtinId="9" hidden="1"/>
    <cellStyle name="Besuchter Hyperlink" xfId="589" builtinId="9" hidden="1"/>
    <cellStyle name="Besuchter Hyperlink" xfId="591" builtinId="9" hidden="1"/>
    <cellStyle name="Besuchter Hyperlink" xfId="593" builtinId="9" hidden="1"/>
    <cellStyle name="Besuchter Hyperlink" xfId="595" builtinId="9" hidden="1"/>
    <cellStyle name="Besuchter Hyperlink" xfId="597" builtinId="9" hidden="1"/>
    <cellStyle name="Besuchter Hyperlink" xfId="599" builtinId="9" hidden="1"/>
    <cellStyle name="Besuchter Hyperlink" xfId="601" builtinId="9" hidden="1"/>
    <cellStyle name="Besuchter Hyperlink" xfId="603" builtinId="9" hidden="1"/>
    <cellStyle name="Besuchter Hyperlink" xfId="605" builtinId="9" hidden="1"/>
    <cellStyle name="Besuchter Hyperlink" xfId="607" builtinId="9" hidden="1"/>
    <cellStyle name="Besuchter Hyperlink" xfId="609" builtinId="9" hidden="1"/>
    <cellStyle name="Besuchter Hyperlink" xfId="611" builtinId="9" hidden="1"/>
    <cellStyle name="Besuchter Hyperlink" xfId="613" builtinId="9" hidden="1"/>
    <cellStyle name="Besuchter Hyperlink" xfId="615" builtinId="9" hidden="1"/>
    <cellStyle name="Besuchter Hyperlink" xfId="617" builtinId="9" hidden="1"/>
    <cellStyle name="Besuchter Hyperlink" xfId="619" builtinId="9" hidden="1"/>
    <cellStyle name="Besuchter Hyperlink" xfId="621" builtinId="9" hidden="1"/>
    <cellStyle name="Besuchter Hyperlink" xfId="623" builtinId="9" hidden="1"/>
    <cellStyle name="Besuchter Hyperlink" xfId="625" builtinId="9" hidden="1"/>
    <cellStyle name="Besuchter Hyperlink" xfId="627" builtinId="9" hidden="1"/>
    <cellStyle name="Besuchter Hyperlink" xfId="629" builtinId="9" hidden="1"/>
    <cellStyle name="Besuchter Hyperlink" xfId="631" builtinId="9" hidden="1"/>
    <cellStyle name="Besuchter Hyperlink" xfId="633" builtinId="9" hidden="1"/>
    <cellStyle name="Besuchter Hyperlink" xfId="635" builtinId="9" hidden="1"/>
    <cellStyle name="Besuchter Hyperlink" xfId="637" builtinId="9" hidden="1"/>
    <cellStyle name="Besuchter Hyperlink" xfId="639" builtinId="9" hidden="1"/>
    <cellStyle name="Besuchter Hyperlink" xfId="641" builtinId="9" hidden="1"/>
    <cellStyle name="Besuchter Hyperlink" xfId="643" builtinId="9" hidden="1"/>
    <cellStyle name="Besuchter Hyperlink" xfId="645" builtinId="9" hidden="1"/>
    <cellStyle name="Besuchter Hyperlink" xfId="647" builtinId="9" hidden="1"/>
    <cellStyle name="Besuchter Hyperlink" xfId="649" builtinId="9" hidden="1"/>
    <cellStyle name="Besuchter Hyperlink" xfId="651" builtinId="9" hidden="1"/>
    <cellStyle name="Besuchter Hyperlink" xfId="653" builtinId="9" hidden="1"/>
    <cellStyle name="Besuchter Hyperlink" xfId="655" builtinId="9" hidden="1"/>
    <cellStyle name="Besuchter Hyperlink" xfId="657" builtinId="9" hidden="1"/>
    <cellStyle name="Besuchter Hyperlink" xfId="659" builtinId="9" hidden="1"/>
    <cellStyle name="Besuchter Hyperlink" xfId="661" builtinId="9" hidden="1"/>
    <cellStyle name="Besuchter Hyperlink" xfId="663" builtinId="9" hidden="1"/>
    <cellStyle name="Besuchter Hyperlink" xfId="665" builtinId="9" hidden="1"/>
    <cellStyle name="Besuchter Hyperlink" xfId="667" builtinId="9" hidden="1"/>
    <cellStyle name="Besuchter Hyperlink" xfId="669" builtinId="9" hidden="1"/>
    <cellStyle name="Besuchter Hyperlink" xfId="671" builtinId="9" hidden="1"/>
    <cellStyle name="Besuchter Hyperlink" xfId="673" builtinId="9" hidden="1"/>
    <cellStyle name="Besuchter Hyperlink" xfId="675" builtinId="9" hidden="1"/>
    <cellStyle name="Besuchter Hyperlink" xfId="677" builtinId="9" hidden="1"/>
    <cellStyle name="Besuchter Hyperlink" xfId="679" builtinId="9" hidden="1"/>
    <cellStyle name="Besuchter Hyperlink" xfId="681" builtinId="9" hidden="1"/>
    <cellStyle name="Besuchter Hyperlink" xfId="683" builtinId="9" hidden="1"/>
    <cellStyle name="Besuchter Hyperlink" xfId="686" builtinId="9" hidden="1"/>
    <cellStyle name="Besuchter Hyperlink" xfId="688" builtinId="9" hidden="1"/>
    <cellStyle name="Besuchter Hyperlink" xfId="690" builtinId="9" hidden="1"/>
    <cellStyle name="Besuchter Hyperlink" xfId="692" builtinId="9" hidden="1"/>
    <cellStyle name="Besuchter Hyperlink" xfId="694" builtinId="9" hidden="1"/>
    <cellStyle name="Besuchter Hyperlink" xfId="696" builtinId="9" hidden="1"/>
    <cellStyle name="Besuchter Hyperlink" xfId="698" builtinId="9" hidden="1"/>
    <cellStyle name="Besuchter Hyperlink" xfId="700" builtinId="9" hidden="1"/>
    <cellStyle name="Besuchter Hyperlink" xfId="702" builtinId="9" hidden="1"/>
    <cellStyle name="Besuchter Hyperlink" xfId="704" builtinId="9" hidden="1"/>
    <cellStyle name="Besuchter Hyperlink" xfId="706" builtinId="9" hidden="1"/>
    <cellStyle name="Besuchter Hyperlink" xfId="708" builtinId="9" hidden="1"/>
    <cellStyle name="Besuchter Hyperlink" xfId="710" builtinId="9" hidden="1"/>
    <cellStyle name="Besuchter Hyperlink" xfId="712" builtinId="9" hidden="1"/>
    <cellStyle name="Besuchter Hyperlink" xfId="714" builtinId="9" hidden="1"/>
    <cellStyle name="Besuchter Hyperlink" xfId="716" builtinId="9" hidden="1"/>
    <cellStyle name="Besuchter Hyperlink" xfId="718" builtinId="9" hidden="1"/>
    <cellStyle name="Besuchter Hyperlink" xfId="720" builtinId="9" hidden="1"/>
    <cellStyle name="Besuchter Hyperlink" xfId="722" builtinId="9" hidden="1"/>
    <cellStyle name="Besuchter Hyperlink" xfId="724" builtinId="9" hidden="1"/>
    <cellStyle name="Besuchter Hyperlink" xfId="726" builtinId="9" hidden="1"/>
    <cellStyle name="Besuchter Hyperlink" xfId="728" builtinId="9" hidden="1"/>
    <cellStyle name="Besuchter Hyperlink" xfId="730" builtinId="9" hidden="1"/>
    <cellStyle name="Besuchter Hyperlink" xfId="732" builtinId="9" hidden="1"/>
    <cellStyle name="Besuchter Hyperlink" xfId="734" builtinId="9" hidden="1"/>
    <cellStyle name="Besuchter Hyperlink" xfId="736" builtinId="9" hidden="1"/>
    <cellStyle name="Besuchter Hyperlink" xfId="738" builtinId="9" hidden="1"/>
    <cellStyle name="Besuchter Hyperlink" xfId="740" builtinId="9" hidden="1"/>
    <cellStyle name="Besuchter Hyperlink" xfId="742" builtinId="9" hidden="1"/>
    <cellStyle name="Besuchter Hyperlink" xfId="744" builtinId="9" hidden="1"/>
    <cellStyle name="Besuchter Hyperlink" xfId="746" builtinId="9" hidden="1"/>
    <cellStyle name="Besuchter Hyperlink" xfId="748" builtinId="9" hidden="1"/>
    <cellStyle name="Besuchter Hyperlink" xfId="750" builtinId="9" hidden="1"/>
    <cellStyle name="Besuchter Hyperlink" xfId="752" builtinId="9" hidden="1"/>
    <cellStyle name="Besuchter Hyperlink" xfId="754" builtinId="9" hidden="1"/>
    <cellStyle name="Besuchter Hyperlink" xfId="756" builtinId="9" hidden="1"/>
    <cellStyle name="Besuchter Hyperlink" xfId="758" builtinId="9" hidden="1"/>
    <cellStyle name="Besuchter Hyperlink" xfId="760" builtinId="9" hidden="1"/>
    <cellStyle name="Besuchter Hyperlink" xfId="762" builtinId="9" hidden="1"/>
    <cellStyle name="Besuchter Hyperlink" xfId="764" builtinId="9" hidden="1"/>
    <cellStyle name="Besuchter Hyperlink" xfId="766" builtinId="9" hidden="1"/>
    <cellStyle name="Besuchter Hyperlink" xfId="768" builtinId="9" hidden="1"/>
    <cellStyle name="Besuchter Hyperlink" xfId="770" builtinId="9" hidden="1"/>
    <cellStyle name="Besuchter Hyperlink" xfId="772" builtinId="9" hidden="1"/>
    <cellStyle name="Besuchter Hyperlink" xfId="774" builtinId="9" hidden="1"/>
    <cellStyle name="Besuchter Hyperlink" xfId="776" builtinId="9" hidden="1"/>
    <cellStyle name="Besuchter Hyperlink" xfId="778" builtinId="9" hidden="1"/>
    <cellStyle name="Besuchter Hyperlink" xfId="780" builtinId="9" hidden="1"/>
    <cellStyle name="Besuchter Hyperlink" xfId="782" builtinId="9" hidden="1"/>
    <cellStyle name="Besuchter Hyperlink" xfId="784" builtinId="9" hidden="1"/>
    <cellStyle name="Besuchter Hyperlink" xfId="786" builtinId="9" hidden="1"/>
    <cellStyle name="Besuchter Hyperlink" xfId="788" builtinId="9" hidden="1"/>
    <cellStyle name="Besuchter Hyperlink" xfId="790" builtinId="9" hidden="1"/>
    <cellStyle name="Besuchter Hyperlink" xfId="792" builtinId="9" hidden="1"/>
    <cellStyle name="Besuchter Hyperlink" xfId="794" builtinId="9" hidden="1"/>
    <cellStyle name="Besuchter Hyperlink" xfId="796" builtinId="9" hidden="1"/>
    <cellStyle name="Besuchter Hyperlink" xfId="798" builtinId="9" hidden="1"/>
    <cellStyle name="Besuchter Hyperlink" xfId="800" builtinId="9" hidden="1"/>
    <cellStyle name="Besuchter Hyperlink" xfId="802" builtinId="9" hidden="1"/>
    <cellStyle name="Besuchter Hyperlink" xfId="804" builtinId="9" hidden="1"/>
    <cellStyle name="Besuchter Hyperlink" xfId="806" builtinId="9" hidden="1"/>
    <cellStyle name="Besuchter Hyperlink" xfId="808" builtinId="9" hidden="1"/>
    <cellStyle name="Besuchter Hyperlink" xfId="810" builtinId="9" hidden="1"/>
    <cellStyle name="Besuchter Hyperlink" xfId="812" builtinId="9" hidden="1"/>
    <cellStyle name="Besuchter Hyperlink" xfId="814" builtinId="9" hidden="1"/>
    <cellStyle name="Besuchter Hyperlink" xfId="816" builtinId="9" hidden="1"/>
    <cellStyle name="Besuchter Hyperlink" xfId="818" builtinId="9" hidden="1"/>
    <cellStyle name="Besuchter Hyperlink" xfId="820" builtinId="9" hidden="1"/>
    <cellStyle name="Besuchter Hyperlink" xfId="822" builtinId="9" hidden="1"/>
    <cellStyle name="Besuchter Hyperlink" xfId="824" builtinId="9" hidden="1"/>
    <cellStyle name="Besuchter Hyperlink" xfId="826" builtinId="9" hidden="1"/>
    <cellStyle name="Besuchter Hyperlink" xfId="828" builtinId="9" hidden="1"/>
    <cellStyle name="Besuchter Hyperlink" xfId="830" builtinId="9" hidden="1"/>
    <cellStyle name="Besuchter Hyperlink" xfId="832" builtinId="9" hidden="1"/>
    <cellStyle name="Besuchter Hyperlink" xfId="834" builtinId="9" hidden="1"/>
    <cellStyle name="Besuchter Hyperlink" xfId="836" builtinId="9" hidden="1"/>
    <cellStyle name="Besuchter Hyperlink" xfId="838" builtinId="9" hidden="1"/>
    <cellStyle name="Besuchter Hyperlink" xfId="840" builtinId="9" hidden="1"/>
    <cellStyle name="Besuchter Hyperlink" xfId="842" builtinId="9" hidden="1"/>
    <cellStyle name="Besuchter Hyperlink" xfId="844" builtinId="9" hidden="1"/>
    <cellStyle name="Besuchter Hyperlink" xfId="846" builtinId="9" hidden="1"/>
    <cellStyle name="Besuchter Hyperlink" xfId="848" builtinId="9" hidden="1"/>
    <cellStyle name="Besuchter Hyperlink" xfId="850" builtinId="9" hidden="1"/>
    <cellStyle name="Besuchter Hyperlink" xfId="852" builtinId="9" hidden="1"/>
    <cellStyle name="Besuchter Hyperlink" xfId="854" builtinId="9" hidden="1"/>
    <cellStyle name="Besuchter Hyperlink" xfId="856" builtinId="9" hidden="1"/>
    <cellStyle name="Besuchter Hyperlink" xfId="858" builtinId="9" hidden="1"/>
    <cellStyle name="Besuchter Hyperlink" xfId="860" builtinId="9" hidden="1"/>
    <cellStyle name="Besuchter Hyperlink" xfId="862" builtinId="9" hidden="1"/>
    <cellStyle name="Besuchter Hyperlink" xfId="864" builtinId="9" hidden="1"/>
    <cellStyle name="Besuchter Hyperlink" xfId="866" builtinId="9" hidden="1"/>
    <cellStyle name="Besuchter Hyperlink" xfId="868" builtinId="9" hidden="1"/>
    <cellStyle name="Besuchter Hyperlink" xfId="870" builtinId="9" hidden="1"/>
    <cellStyle name="Besuchter Hyperlink" xfId="872" builtinId="9" hidden="1"/>
    <cellStyle name="Besuchter Hyperlink" xfId="874" builtinId="9" hidden="1"/>
    <cellStyle name="Besuchter Hyperlink" xfId="876" builtinId="9" hidden="1"/>
    <cellStyle name="Besuchter Hyperlink" xfId="878" builtinId="9" hidden="1"/>
    <cellStyle name="Besuchter Hyperlink" xfId="880" builtinId="9" hidden="1"/>
    <cellStyle name="Besuchter Hyperlink" xfId="882" builtinId="9" hidden="1"/>
    <cellStyle name="Besuchter Hyperlink" xfId="884" builtinId="9" hidden="1"/>
    <cellStyle name="Besuchter Hyperlink" xfId="886" builtinId="9" hidden="1"/>
    <cellStyle name="Besuchter Hyperlink" xfId="888" builtinId="9" hidden="1"/>
    <cellStyle name="Besuchter Hyperlink" xfId="890" builtinId="9" hidden="1"/>
    <cellStyle name="Besuchter Hyperlink" xfId="892" builtinId="9" hidden="1"/>
    <cellStyle name="Besuchter Hyperlink" xfId="894" builtinId="9" hidden="1"/>
    <cellStyle name="Besuchter Hyperlink" xfId="896" builtinId="9" hidden="1"/>
    <cellStyle name="Besuchter Hyperlink" xfId="898" builtinId="9" hidden="1"/>
    <cellStyle name="Besuchter Hyperlink" xfId="900" builtinId="9" hidden="1"/>
    <cellStyle name="Besuchter Hyperlink" xfId="902" builtinId="9" hidden="1"/>
    <cellStyle name="Besuchter Hyperlink" xfId="904" builtinId="9" hidden="1"/>
    <cellStyle name="Besuchter Hyperlink" xfId="906" builtinId="9" hidden="1"/>
    <cellStyle name="Besuchter Hyperlink" xfId="908" builtinId="9" hidden="1"/>
    <cellStyle name="Besuchter Hyperlink" xfId="910" builtinId="9" hidden="1"/>
    <cellStyle name="Besuchter Hyperlink" xfId="912" builtinId="9" hidden="1"/>
    <cellStyle name="Besuchter Hyperlink" xfId="914" builtinId="9" hidden="1"/>
    <cellStyle name="Besuchter Hyperlink" xfId="916" builtinId="9" hidden="1"/>
    <cellStyle name="Besuchter Hyperlink" xfId="918" builtinId="9" hidden="1"/>
    <cellStyle name="Besuchter Hyperlink" xfId="920" builtinId="9" hidden="1"/>
    <cellStyle name="Besuchter Hyperlink" xfId="922" builtinId="9" hidden="1"/>
    <cellStyle name="Besuchter Hyperlink" xfId="924" builtinId="9" hidden="1"/>
    <cellStyle name="Besuchter Hyperlink" xfId="926" builtinId="9" hidden="1"/>
    <cellStyle name="Besuchter Hyperlink" xfId="928" builtinId="9" hidden="1"/>
    <cellStyle name="Besuchter Hyperlink" xfId="930" builtinId="9" hidden="1"/>
    <cellStyle name="Besuchter Hyperlink" xfId="932" builtinId="9" hidden="1"/>
    <cellStyle name="Besuchter Hyperlink" xfId="934" builtinId="9" hidden="1"/>
    <cellStyle name="Besuchter Hyperlink" xfId="936" builtinId="9" hidden="1"/>
    <cellStyle name="Besuchter Hyperlink" xfId="938" builtinId="9" hidden="1"/>
    <cellStyle name="Besuchter Hyperlink" xfId="940" builtinId="9" hidden="1"/>
    <cellStyle name="Besuchter Hyperlink" xfId="942" builtinId="9" hidden="1"/>
    <cellStyle name="Besuchter Hyperlink" xfId="944" builtinId="9" hidden="1"/>
    <cellStyle name="Besuchter Hyperlink" xfId="946" builtinId="9" hidden="1"/>
    <cellStyle name="Besuchter Hyperlink" xfId="948" builtinId="9" hidden="1"/>
    <cellStyle name="Besuchter Hyperlink" xfId="950" builtinId="9" hidden="1"/>
    <cellStyle name="Besuchter Hyperlink" xfId="952" builtinId="9" hidden="1"/>
    <cellStyle name="Besuchter Hyperlink" xfId="954" builtinId="9" hidden="1"/>
    <cellStyle name="Besuchter Hyperlink" xfId="956" builtinId="9" hidden="1"/>
    <cellStyle name="Besuchter Hyperlink" xfId="958" builtinId="9" hidden="1"/>
    <cellStyle name="Besuchter Hyperlink" xfId="960" builtinId="9" hidden="1"/>
    <cellStyle name="Besuchter Hyperlink" xfId="962" builtinId="9" hidden="1"/>
    <cellStyle name="Besuchter Hyperlink" xfId="964" builtinId="9" hidden="1"/>
    <cellStyle name="Besuchter Hyperlink" xfId="966" builtinId="9" hidden="1"/>
    <cellStyle name="Besuchter Hyperlink" xfId="968" builtinId="9" hidden="1"/>
    <cellStyle name="Besuchter Hyperlink" xfId="970" builtinId="9" hidden="1"/>
    <cellStyle name="Besuchter Hyperlink" xfId="972" builtinId="9" hidden="1"/>
    <cellStyle name="Besuchter Hyperlink" xfId="974" builtinId="9" hidden="1"/>
    <cellStyle name="Besuchter Hyperlink" xfId="976" builtinId="9" hidden="1"/>
    <cellStyle name="Besuchter Hyperlink" xfId="978" builtinId="9" hidden="1"/>
    <cellStyle name="Besuchter Hyperlink" xfId="980" builtinId="9" hidden="1"/>
    <cellStyle name="Besuchter Hyperlink" xfId="982" builtinId="9" hidden="1"/>
    <cellStyle name="Besuchter Hyperlink" xfId="984" builtinId="9" hidden="1"/>
    <cellStyle name="Besuchter Hyperlink" xfId="986" builtinId="9" hidden="1"/>
    <cellStyle name="Besuchter Hyperlink" xfId="988" builtinId="9" hidden="1"/>
    <cellStyle name="Besuchter Hyperlink" xfId="990" builtinId="9" hidden="1"/>
    <cellStyle name="Besuchter Hyperlink" xfId="992" builtinId="9" hidden="1"/>
    <cellStyle name="Besuchter Hyperlink" xfId="994" builtinId="9" hidden="1"/>
    <cellStyle name="Besuchter Hyperlink" xfId="996" builtinId="9" hidden="1"/>
    <cellStyle name="Besuchter Hyperlink" xfId="998" builtinId="9" hidden="1"/>
    <cellStyle name="Besuchter Hyperlink" xfId="1000" builtinId="9" hidden="1"/>
    <cellStyle name="Besuchter Hyperlink" xfId="1002" builtinId="9" hidden="1"/>
    <cellStyle name="Besuchter Hyperlink" xfId="1004" builtinId="9" hidden="1"/>
    <cellStyle name="Besuchter Hyperlink" xfId="1006" builtinId="9" hidden="1"/>
    <cellStyle name="Besuchter Hyperlink" xfId="1008" builtinId="9" hidden="1"/>
    <cellStyle name="Besuchter Hyperlink" xfId="1010" builtinId="9" hidden="1"/>
    <cellStyle name="Besuchter Hyperlink" xfId="1012" builtinId="9" hidden="1"/>
    <cellStyle name="Besuchter Hyperlink" xfId="1014" builtinId="9" hidden="1"/>
    <cellStyle name="Besuchter Hyperlink" xfId="1016" builtinId="9" hidden="1"/>
    <cellStyle name="Besuchter Hyperlink" xfId="1018" builtinId="9" hidden="1"/>
    <cellStyle name="Besuchter Hyperlink" xfId="1020" builtinId="9" hidden="1"/>
    <cellStyle name="Besuchter Hyperlink" xfId="1022" builtinId="9" hidden="1"/>
    <cellStyle name="Besuchter Hyperlink" xfId="1024" builtinId="9" hidden="1"/>
    <cellStyle name="Besuchter Hyperlink" xfId="1026" builtinId="9" hidden="1"/>
    <cellStyle name="Besuchter Hyperlink" xfId="1028" builtinId="9" hidden="1"/>
    <cellStyle name="Besuchter Hyperlink" xfId="1030" builtinId="9" hidden="1"/>
    <cellStyle name="Besuchter Hyperlink" xfId="1032" builtinId="9" hidden="1"/>
    <cellStyle name="Besuchter Hyperlink" xfId="1034" builtinId="9" hidden="1"/>
    <cellStyle name="Besuchter Hyperlink" xfId="1036" builtinId="9" hidden="1"/>
    <cellStyle name="Besuchter Hyperlink" xfId="1038" builtinId="9" hidden="1"/>
    <cellStyle name="Besuchter Hyperlink" xfId="1040" builtinId="9" hidden="1"/>
    <cellStyle name="Besuchter Hyperlink" xfId="1042" builtinId="9" hidden="1"/>
    <cellStyle name="Besuchter Hyperlink" xfId="1044" builtinId="9" hidden="1"/>
    <cellStyle name="Besuchter Hyperlink" xfId="1046" builtinId="9" hidden="1"/>
    <cellStyle name="Besuchter Hyperlink" xfId="1048" builtinId="9" hidden="1"/>
    <cellStyle name="Besuchter Hyperlink" xfId="1050" builtinId="9" hidden="1"/>
    <cellStyle name="Besuchter Hyperlink" xfId="1052" builtinId="9" hidden="1"/>
    <cellStyle name="Besuchter Hyperlink" xfId="1054" builtinId="9" hidden="1"/>
    <cellStyle name="Besuchter Hyperlink" xfId="1056" builtinId="9" hidden="1"/>
    <cellStyle name="Besuchter Hyperlink" xfId="1058" builtinId="9" hidden="1"/>
    <cellStyle name="Besuchter Hyperlink" xfId="1060" builtinId="9" hidden="1"/>
    <cellStyle name="Besuchter Hyperlink" xfId="1062" builtinId="9" hidden="1"/>
    <cellStyle name="Besuchter Hyperlink" xfId="1064" builtinId="9" hidden="1"/>
    <cellStyle name="Besuchter Hyperlink" xfId="1066" builtinId="9" hidden="1"/>
    <cellStyle name="Besuchter Hyperlink" xfId="1068" builtinId="9" hidden="1"/>
    <cellStyle name="Besuchter Hyperlink" xfId="1070" builtinId="9" hidden="1"/>
    <cellStyle name="Besuchter Hyperlink" xfId="1072" builtinId="9" hidden="1"/>
    <cellStyle name="Besuchter Hyperlink" xfId="1074" builtinId="9" hidden="1"/>
    <cellStyle name="Besuchter Hyperlink" xfId="1076" builtinId="9" hidden="1"/>
    <cellStyle name="Besuchter Hyperlink" xfId="1078" builtinId="9" hidden="1"/>
    <cellStyle name="Besuchter Hyperlink" xfId="1080" builtinId="9" hidden="1"/>
    <cellStyle name="Besuchter Hyperlink" xfId="1082" builtinId="9" hidden="1"/>
    <cellStyle name="Besuchter Hyperlink" xfId="1084" builtinId="9" hidden="1"/>
    <cellStyle name="Besuchter Hyperlink" xfId="1086" builtinId="9" hidden="1"/>
    <cellStyle name="Besuchter Hyperlink" xfId="1088" builtinId="9" hidden="1"/>
    <cellStyle name="Besuchter Hyperlink" xfId="1090" builtinId="9" hidden="1"/>
    <cellStyle name="Besuchter Hyperlink" xfId="1092" builtinId="9" hidden="1"/>
    <cellStyle name="Besuchter Hyperlink" xfId="1094" builtinId="9" hidden="1"/>
    <cellStyle name="Besuchter Hyperlink" xfId="1096" builtinId="9" hidden="1"/>
    <cellStyle name="Besuchter Hyperlink" xfId="1098" builtinId="9" hidden="1"/>
    <cellStyle name="Besuchter Hyperlink" xfId="1100" builtinId="9" hidden="1"/>
    <cellStyle name="Besuchter Hyperlink" xfId="1102" builtinId="9" hidden="1"/>
    <cellStyle name="Besuchter Hyperlink" xfId="1104" builtinId="9" hidden="1"/>
    <cellStyle name="Besuchter Hyperlink" xfId="1106" builtinId="9" hidden="1"/>
    <cellStyle name="Besuchter Hyperlink" xfId="1108" builtinId="9" hidden="1"/>
    <cellStyle name="Besuchter Hyperlink" xfId="1110" builtinId="9" hidden="1"/>
    <cellStyle name="Besuchter Hyperlink" xfId="1112" builtinId="9" hidden="1"/>
    <cellStyle name="Besuchter Hyperlink" xfId="1114" builtinId="9" hidden="1"/>
    <cellStyle name="Besuchter Hyperlink" xfId="1116" builtinId="9" hidden="1"/>
    <cellStyle name="Besuchter Hyperlink" xfId="1118" builtinId="9" hidden="1"/>
    <cellStyle name="Besuchter Hyperlink" xfId="1120" builtinId="9" hidden="1"/>
    <cellStyle name="Besuchter Hyperlink" xfId="1122" builtinId="9" hidden="1"/>
    <cellStyle name="Besuchter Hyperlink" xfId="1124" builtinId="9" hidden="1"/>
    <cellStyle name="Besuchter Hyperlink" xfId="1126" builtinId="9" hidden="1"/>
    <cellStyle name="Besuchter Hyperlink" xfId="1128" builtinId="9" hidden="1"/>
    <cellStyle name="Besuchter Hyperlink" xfId="1130" builtinId="9" hidden="1"/>
    <cellStyle name="Besuchter Hyperlink" xfId="1132" builtinId="9" hidden="1"/>
    <cellStyle name="Besuchter Hyperlink" xfId="1134" builtinId="9" hidden="1"/>
    <cellStyle name="Besuchter Hyperlink" xfId="1136" builtinId="9" hidden="1"/>
    <cellStyle name="Besuchter Hyperlink" xfId="1138" builtinId="9" hidden="1"/>
    <cellStyle name="Besuchter Hyperlink" xfId="1140" builtinId="9" hidden="1"/>
    <cellStyle name="Besuchter Hyperlink" xfId="1142" builtinId="9" hidden="1"/>
    <cellStyle name="Besuchter Hyperlink" xfId="1144" builtinId="9" hidden="1"/>
    <cellStyle name="Besuchter Hyperlink" xfId="1146" builtinId="9" hidden="1"/>
    <cellStyle name="Besuchter Hyperlink" xfId="1148" builtinId="9" hidden="1"/>
    <cellStyle name="Besuchter Hyperlink" xfId="1150" builtinId="9" hidden="1"/>
    <cellStyle name="Besuchter Hyperlink" xfId="1152" builtinId="9" hidden="1"/>
    <cellStyle name="Besuchter Hyperlink" xfId="1154" builtinId="9" hidden="1"/>
    <cellStyle name="Besuchter Hyperlink" xfId="1156" builtinId="9" hidden="1"/>
    <cellStyle name="Besuchter Hyperlink" xfId="1158" builtinId="9" hidden="1"/>
    <cellStyle name="Besuchter Hyperlink" xfId="1160" builtinId="9" hidden="1"/>
    <cellStyle name="Besuchter Hyperlink" xfId="1162" builtinId="9" hidden="1"/>
    <cellStyle name="Besuchter Hyperlink" xfId="1164" builtinId="9" hidden="1"/>
    <cellStyle name="Besuchter Hyperlink" xfId="1166" builtinId="9" hidden="1"/>
    <cellStyle name="Besuchter Hyperlink" xfId="1168" builtinId="9" hidden="1"/>
    <cellStyle name="Besuchter Hyperlink" xfId="1170" builtinId="9" hidden="1"/>
    <cellStyle name="Besuchter Hyperlink" xfId="1172" builtinId="9" hidden="1"/>
    <cellStyle name="Besuchter Hyperlink" xfId="1174" builtinId="9" hidden="1"/>
    <cellStyle name="Besuchter Hyperlink" xfId="1176" builtinId="9" hidden="1"/>
    <cellStyle name="Besuchter Hyperlink" xfId="1178" builtinId="9" hidden="1"/>
    <cellStyle name="Besuchter Hyperlink" xfId="1180" builtinId="9" hidden="1"/>
    <cellStyle name="Besuchter Hyperlink" xfId="1182" builtinId="9" hidden="1"/>
    <cellStyle name="Besuchter Hyperlink" xfId="1184" builtinId="9" hidden="1"/>
    <cellStyle name="Besuchter Hyperlink" xfId="1186" builtinId="9" hidden="1"/>
    <cellStyle name="Besuchter Hyperlink" xfId="1188" builtinId="9" hidden="1"/>
    <cellStyle name="Besuchter Hyperlink" xfId="1190" builtinId="9" hidden="1"/>
    <cellStyle name="Besuchter Hyperlink" xfId="1192" builtinId="9" hidden="1"/>
    <cellStyle name="Besuchter Hyperlink" xfId="1194" builtinId="9" hidden="1"/>
    <cellStyle name="Besuchter Hyperlink" xfId="1196" builtinId="9" hidden="1"/>
    <cellStyle name="Besuchter Hyperlink" xfId="1198" builtinId="9" hidden="1"/>
    <cellStyle name="Besuchter Hyperlink" xfId="1200" builtinId="9" hidden="1"/>
    <cellStyle name="Besuchter Hyperlink" xfId="1202" builtinId="9" hidden="1"/>
    <cellStyle name="Besuchter Hyperlink" xfId="1204" builtinId="9" hidden="1"/>
    <cellStyle name="Besuchter Hyperlink" xfId="1206" builtinId="9" hidden="1"/>
    <cellStyle name="Besuchter Hyperlink" xfId="1208" builtinId="9" hidden="1"/>
    <cellStyle name="Besuchter Hyperlink" xfId="1210" builtinId="9" hidden="1"/>
    <cellStyle name="Besuchter Hyperlink" xfId="1212" builtinId="9" hidden="1"/>
    <cellStyle name="Besuchter Hyperlink" xfId="1214" builtinId="9" hidden="1"/>
    <cellStyle name="Besuchter Hyperlink" xfId="1216" builtinId="9" hidden="1"/>
    <cellStyle name="Besuchter Hyperlink" xfId="1218" builtinId="9" hidden="1"/>
    <cellStyle name="Besuchter Hyperlink" xfId="1220" builtinId="9" hidden="1"/>
    <cellStyle name="Besuchter Hyperlink" xfId="1222" builtinId="9" hidden="1"/>
    <cellStyle name="Besuchter Hyperlink" xfId="1224" builtinId="9" hidden="1"/>
    <cellStyle name="Besuchter Hyperlink" xfId="1226" builtinId="9" hidden="1"/>
    <cellStyle name="Besuchter Hyperlink" xfId="1228" builtinId="9" hidden="1"/>
    <cellStyle name="Besuchter Hyperlink" xfId="1230" builtinId="9" hidden="1"/>
    <cellStyle name="Besuchter Hyperlink" xfId="1232" builtinId="9" hidden="1"/>
    <cellStyle name="Besuchter Hyperlink" xfId="1234" builtinId="9" hidden="1"/>
    <cellStyle name="Besuchter Hyperlink" xfId="1236" builtinId="9" hidden="1"/>
    <cellStyle name="Besuchter Hyperlink" xfId="1238" builtinId="9" hidden="1"/>
    <cellStyle name="Besuchter Hyperlink" xfId="1240" builtinId="9" hidden="1"/>
    <cellStyle name="Besuchter Hyperlink" xfId="1242" builtinId="9" hidden="1"/>
    <cellStyle name="Besuchter Hyperlink" xfId="1244" builtinId="9" hidden="1"/>
    <cellStyle name="Besuchter Hyperlink" xfId="1246" builtinId="9" hidden="1"/>
    <cellStyle name="Besuchter Hyperlink" xfId="1248" builtinId="9" hidden="1"/>
    <cellStyle name="Besuchter Hyperlink" xfId="1250" builtinId="9" hidden="1"/>
    <cellStyle name="Besuchter Hyperlink" xfId="1252" builtinId="9" hidden="1"/>
    <cellStyle name="Besuchter Hyperlink" xfId="1254" builtinId="9" hidden="1"/>
    <cellStyle name="Besuchter Hyperlink" xfId="1256" builtinId="9" hidden="1"/>
    <cellStyle name="Besuchter Hyperlink" xfId="1258" builtinId="9" hidden="1"/>
    <cellStyle name="Besuchter Hyperlink" xfId="1260" builtinId="9" hidden="1"/>
    <cellStyle name="Besuchter Hyperlink" xfId="1262" builtinId="9" hidden="1"/>
    <cellStyle name="Besuchter Hyperlink" xfId="1264" builtinId="9" hidden="1"/>
    <cellStyle name="Besuchter Hyperlink" xfId="1266" builtinId="9" hidden="1"/>
    <cellStyle name="Besuchter Hyperlink" xfId="1268" builtinId="9" hidden="1"/>
    <cellStyle name="Besuchter Hyperlink" xfId="1270" builtinId="9" hidden="1"/>
    <cellStyle name="Besuchter Hyperlink" xfId="1272" builtinId="9" hidden="1"/>
    <cellStyle name="Besuchter Hyperlink" xfId="1274" builtinId="9" hidden="1"/>
    <cellStyle name="Besuchter Hyperlink" xfId="1276" builtinId="9" hidden="1"/>
    <cellStyle name="Besuchter Hyperlink" xfId="1278" builtinId="9" hidden="1"/>
    <cellStyle name="Besuchter Hyperlink" xfId="1280" builtinId="9" hidden="1"/>
    <cellStyle name="Besuchter Hyperlink" xfId="1282" builtinId="9" hidden="1"/>
    <cellStyle name="Besuchter Hyperlink" xfId="1284" builtinId="9" hidden="1"/>
    <cellStyle name="Besuchter Hyperlink" xfId="1286" builtinId="9" hidden="1"/>
    <cellStyle name="Besuchter Hyperlink" xfId="1288" builtinId="9" hidden="1"/>
    <cellStyle name="Besuchter Hyperlink" xfId="1290" builtinId="9" hidden="1"/>
    <cellStyle name="Besuchter Hyperlink" xfId="1292" builtinId="9" hidden="1"/>
    <cellStyle name="Besuchter Hyperlink" xfId="1294" builtinId="9" hidden="1"/>
    <cellStyle name="Besuchter Hyperlink" xfId="1296" builtinId="9" hidden="1"/>
    <cellStyle name="Besuchter Hyperlink" xfId="1298" builtinId="9" hidden="1"/>
    <cellStyle name="Besuchter Hyperlink" xfId="1300" builtinId="9" hidden="1"/>
    <cellStyle name="Besuchter Hyperlink" xfId="1302" builtinId="9" hidden="1"/>
    <cellStyle name="Besuchter Hyperlink" xfId="1304" builtinId="9" hidden="1"/>
    <cellStyle name="Besuchter Hyperlink" xfId="1306" builtinId="9" hidden="1"/>
    <cellStyle name="Besuchter Hyperlink" xfId="1308" builtinId="9" hidden="1"/>
    <cellStyle name="Besuchter Hyperlink" xfId="1310" builtinId="9" hidden="1"/>
    <cellStyle name="Besuchter Hyperlink" xfId="1312" builtinId="9" hidden="1"/>
    <cellStyle name="Besuchter Hyperlink" xfId="1314" builtinId="9" hidden="1"/>
    <cellStyle name="Besuchter Hyperlink" xfId="1316" builtinId="9" hidden="1"/>
    <cellStyle name="Besuchter Hyperlink" xfId="1318" builtinId="9" hidden="1"/>
    <cellStyle name="Besuchter Hyperlink" xfId="1320" builtinId="9" hidden="1"/>
    <cellStyle name="Besuchter Hyperlink" xfId="1322" builtinId="9" hidden="1"/>
    <cellStyle name="Besuchter Hyperlink" xfId="1324" builtinId="9" hidden="1"/>
    <cellStyle name="Besuchter Hyperlink" xfId="1326" builtinId="9" hidden="1"/>
    <cellStyle name="Besuchter Hyperlink" xfId="1328" builtinId="9" hidden="1"/>
    <cellStyle name="Besuchter Hyperlink" xfId="1330" builtinId="9" hidden="1"/>
    <cellStyle name="Besuchter Hyperlink" xfId="1332" builtinId="9" hidden="1"/>
    <cellStyle name="Besuchter Hyperlink" xfId="1334" builtinId="9" hidden="1"/>
    <cellStyle name="Besuchter Hyperlink" xfId="1336" builtinId="9" hidden="1"/>
    <cellStyle name="Besuchter Hyperlink" xfId="1338" builtinId="9" hidden="1"/>
    <cellStyle name="Besuchter Hyperlink" xfId="1340" builtinId="9" hidden="1"/>
    <cellStyle name="Besuchter Hyperlink" xfId="1342" builtinId="9" hidden="1"/>
    <cellStyle name="Besuchter Hyperlink" xfId="1344" builtinId="9" hidden="1"/>
    <cellStyle name="Besuchter Hyperlink" xfId="1346" builtinId="9" hidden="1"/>
    <cellStyle name="Besuchter Hyperlink" xfId="1348" builtinId="9" hidden="1"/>
    <cellStyle name="Besuchter Hyperlink" xfId="1350" builtinId="9" hidden="1"/>
    <cellStyle name="Besuchter Hyperlink" xfId="1352" builtinId="9" hidden="1"/>
    <cellStyle name="Besuchter Hyperlink" xfId="1354" builtinId="9" hidden="1"/>
    <cellStyle name="Besuchter Hyperlink" xfId="1356" builtinId="9" hidden="1"/>
    <cellStyle name="Besuchter Hyperlink" xfId="1358" builtinId="9" hidden="1"/>
    <cellStyle name="Besuchter Hyperlink" xfId="1360" builtinId="9" hidden="1"/>
    <cellStyle name="Besuchter Hyperlink" xfId="1362" builtinId="9" hidden="1"/>
    <cellStyle name="Besuchter Hyperlink" xfId="1364" builtinId="9" hidden="1"/>
    <cellStyle name="Besuchter Hyperlink" xfId="1366" builtinId="9" hidden="1"/>
    <cellStyle name="Besuchter Hyperlink" xfId="1368" builtinId="9" hidden="1"/>
    <cellStyle name="Besuchter Hyperlink" xfId="1370" builtinId="9" hidden="1"/>
    <cellStyle name="Besuchter Hyperlink" xfId="1372" builtinId="9" hidden="1"/>
    <cellStyle name="Besuchter Hyperlink" xfId="1374" builtinId="9" hidden="1"/>
    <cellStyle name="Besuchter Hyperlink" xfId="1376" builtinId="9" hidden="1"/>
    <cellStyle name="Besuchter Hyperlink" xfId="1378" builtinId="9" hidden="1"/>
    <cellStyle name="Besuchter Hyperlink" xfId="1380" builtinId="9" hidden="1"/>
    <cellStyle name="Besuchter Hyperlink" xfId="1382" builtinId="9" hidden="1"/>
    <cellStyle name="Besuchter Hyperlink" xfId="1384" builtinId="9" hidden="1"/>
    <cellStyle name="Besuchter Hyperlink" xfId="1386" builtinId="9" hidden="1"/>
    <cellStyle name="Besuchter Hyperlink" xfId="1388" builtinId="9" hidden="1"/>
    <cellStyle name="Besuchter Hyperlink" xfId="1390" builtinId="9" hidden="1"/>
    <cellStyle name="Besuchter Hyperlink" xfId="1392" builtinId="9" hidden="1"/>
    <cellStyle name="Besuchter Hyperlink" xfId="1394" builtinId="9" hidden="1"/>
    <cellStyle name="Besuchter Hyperlink" xfId="1396" builtinId="9" hidden="1"/>
    <cellStyle name="Besuchter Hyperlink" xfId="1398" builtinId="9" hidden="1"/>
    <cellStyle name="Besuchter Hyperlink" xfId="1400" builtinId="9" hidden="1"/>
    <cellStyle name="Besuchter Hyperlink" xfId="1402" builtinId="9" hidden="1"/>
    <cellStyle name="Besuchter Hyperlink" xfId="1404" builtinId="9" hidden="1"/>
    <cellStyle name="Besuchter Hyperlink" xfId="1406" builtinId="9" hidden="1"/>
    <cellStyle name="Besuchter Hyperlink" xfId="1408" builtinId="9" hidden="1"/>
    <cellStyle name="Besuchter Hyperlink" xfId="1410" builtinId="9" hidden="1"/>
    <cellStyle name="Besuchter Hyperlink" xfId="1412" builtinId="9" hidden="1"/>
    <cellStyle name="Besuchter Hyperlink" xfId="1414" builtinId="9" hidden="1"/>
    <cellStyle name="Besuchter Hyperlink" xfId="1416" builtinId="9" hidden="1"/>
    <cellStyle name="Besuchter Hyperlink" xfId="1418" builtinId="9" hidden="1"/>
    <cellStyle name="Besuchter Hyperlink" xfId="1420" builtinId="9" hidden="1"/>
    <cellStyle name="Besuchter Hyperlink" xfId="1422" builtinId="9" hidden="1"/>
    <cellStyle name="Besuchter Hyperlink" xfId="1424" builtinId="9" hidden="1"/>
    <cellStyle name="Besuchter Hyperlink" xfId="1426" builtinId="9" hidden="1"/>
    <cellStyle name="Besuchter Hyperlink" xfId="1428" builtinId="9" hidden="1"/>
    <cellStyle name="Besuchter Hyperlink" xfId="1430" builtinId="9" hidden="1"/>
    <cellStyle name="Besuchter Hyperlink" xfId="1432" builtinId="9" hidden="1"/>
    <cellStyle name="Besuchter Hyperlink" xfId="1434" builtinId="9" hidden="1"/>
    <cellStyle name="Besuchter Hyperlink" xfId="1436" builtinId="9" hidden="1"/>
    <cellStyle name="Besuchter Hyperlink" xfId="1438" builtinId="9" hidden="1"/>
    <cellStyle name="Besuchter Hyperlink" xfId="1440" builtinId="9" hidden="1"/>
    <cellStyle name="Besuchter Hyperlink" xfId="1442" builtinId="9" hidden="1"/>
    <cellStyle name="Besuchter Hyperlink" xfId="1444" builtinId="9" hidden="1"/>
    <cellStyle name="Besuchter Hyperlink" xfId="1446" builtinId="9" hidden="1"/>
    <cellStyle name="Besuchter Hyperlink" xfId="1448" builtinId="9" hidden="1"/>
    <cellStyle name="Besuchter Hyperlink" xfId="1450" builtinId="9" hidden="1"/>
    <cellStyle name="Besuchter Hyperlink" xfId="1452" builtinId="9" hidden="1"/>
    <cellStyle name="Besuchter Hyperlink" xfId="1454" builtinId="9" hidden="1"/>
    <cellStyle name="Besuchter Hyperlink" xfId="1456" builtinId="9" hidden="1"/>
    <cellStyle name="Besuchter Hyperlink" xfId="1458" builtinId="9" hidden="1"/>
    <cellStyle name="Besuchter Hyperlink" xfId="1460" builtinId="9" hidden="1"/>
    <cellStyle name="Besuchter Hyperlink" xfId="1462" builtinId="9" hidden="1"/>
    <cellStyle name="Besuchter Hyperlink" xfId="1464" builtinId="9" hidden="1"/>
    <cellStyle name="Besuchter Hyperlink" xfId="1466" builtinId="9" hidden="1"/>
    <cellStyle name="Besuchter Hyperlink" xfId="1468" builtinId="9" hidden="1"/>
    <cellStyle name="Besuchter Hyperlink" xfId="1470" builtinId="9" hidden="1"/>
    <cellStyle name="Besuchter Hyperlink" xfId="1472" builtinId="9" hidden="1"/>
    <cellStyle name="Besuchter Hyperlink" xfId="1474" builtinId="9" hidden="1"/>
    <cellStyle name="Besuchter Hyperlink" xfId="1476" builtinId="9" hidden="1"/>
    <cellStyle name="Besuchter Hyperlink" xfId="1478" builtinId="9" hidden="1"/>
    <cellStyle name="Besuchter Hyperlink" xfId="1480" builtinId="9" hidden="1"/>
    <cellStyle name="Besuchter Hyperlink" xfId="1482" builtinId="9" hidden="1"/>
    <cellStyle name="Besuchter Hyperlink" xfId="1484" builtinId="9" hidden="1"/>
    <cellStyle name="Besuchter Hyperlink" xfId="1486" builtinId="9" hidden="1"/>
    <cellStyle name="Besuchter Hyperlink" xfId="1488" builtinId="9" hidden="1"/>
    <cellStyle name="Besuchter Hyperlink" xfId="1490" builtinId="9" hidden="1"/>
    <cellStyle name="Besuchter Hyperlink" xfId="1492" builtinId="9" hidden="1"/>
    <cellStyle name="Besuchter Hyperlink" xfId="1494" builtinId="9" hidden="1"/>
    <cellStyle name="Besuchter Hyperlink" xfId="1496" builtinId="9" hidden="1"/>
    <cellStyle name="Besuchter Hyperlink" xfId="1498" builtinId="9" hidden="1"/>
    <cellStyle name="Besuchter Hyperlink" xfId="1500" builtinId="9" hidden="1"/>
    <cellStyle name="Besuchter Hyperlink" xfId="1502" builtinId="9" hidden="1"/>
    <cellStyle name="Besuchter Hyperlink" xfId="1504" builtinId="9" hidden="1"/>
    <cellStyle name="Besuchter Hyperlink" xfId="1506" builtinId="9" hidden="1"/>
    <cellStyle name="Besuchter Hyperlink" xfId="1508" builtinId="9" hidden="1"/>
    <cellStyle name="Besuchter Hyperlink" xfId="1510" builtinId="9" hidden="1"/>
    <cellStyle name="Besuchter Hyperlink" xfId="1512" builtinId="9" hidden="1"/>
    <cellStyle name="Besuchter Hyperlink" xfId="1514" builtinId="9" hidden="1"/>
    <cellStyle name="Besuchter Hyperlink" xfId="1516" builtinId="9" hidden="1"/>
    <cellStyle name="Besuchter Hyperlink" xfId="1518" builtinId="9" hidden="1"/>
    <cellStyle name="Besuchter Hyperlink" xfId="1520" builtinId="9" hidden="1"/>
    <cellStyle name="Besuchter Hyperlink" xfId="1522" builtinId="9" hidden="1"/>
    <cellStyle name="Besuchter Hyperlink" xfId="1524" builtinId="9" hidden="1"/>
    <cellStyle name="Besuchter Hyperlink" xfId="1526" builtinId="9" hidden="1"/>
    <cellStyle name="Besuchter Hyperlink" xfId="1528" builtinId="9" hidden="1"/>
    <cellStyle name="Besuchter Hyperlink" xfId="1530" builtinId="9" hidden="1"/>
    <cellStyle name="Besuchter Hyperlink" xfId="1532" builtinId="9" hidden="1"/>
    <cellStyle name="Besuchter Hyperlink" xfId="1534" builtinId="9" hidden="1"/>
    <cellStyle name="Besuchter Hyperlink" xfId="1536" builtinId="9" hidden="1"/>
    <cellStyle name="Besuchter Hyperlink" xfId="1538" builtinId="9" hidden="1"/>
    <cellStyle name="Besuchter Hyperlink" xfId="1540" builtinId="9" hidden="1"/>
    <cellStyle name="Besuchter Hyperlink" xfId="1542" builtinId="9" hidden="1"/>
    <cellStyle name="Besuchter Hyperlink" xfId="1544" builtinId="9" hidden="1"/>
    <cellStyle name="Besuchter Hyperlink" xfId="1546" builtinId="9" hidden="1"/>
    <cellStyle name="Besuchter Hyperlink" xfId="1548" builtinId="9" hidden="1"/>
    <cellStyle name="Besuchter Hyperlink" xfId="1550" builtinId="9" hidden="1"/>
    <cellStyle name="Besuchter Hyperlink" xfId="1552" builtinId="9" hidden="1"/>
    <cellStyle name="Besuchter Hyperlink" xfId="1554" builtinId="9" hidden="1"/>
    <cellStyle name="Besuchter Hyperlink" xfId="1556" builtinId="9" hidden="1"/>
    <cellStyle name="Besuchter Hyperlink" xfId="1558" builtinId="9" hidden="1"/>
    <cellStyle name="Besuchter Hyperlink" xfId="1560" builtinId="9" hidden="1"/>
    <cellStyle name="Besuchter Hyperlink" xfId="1562" builtinId="9" hidden="1"/>
    <cellStyle name="Besuchter Hyperlink" xfId="1564" builtinId="9" hidden="1"/>
    <cellStyle name="Besuchter Hyperlink" xfId="1566" builtinId="9" hidden="1"/>
    <cellStyle name="Besuchter Hyperlink" xfId="1568" builtinId="9" hidden="1"/>
    <cellStyle name="Besuchter Hyperlink" xfId="1570" builtinId="9" hidden="1"/>
    <cellStyle name="Besuchter Hyperlink" xfId="1572" builtinId="9" hidden="1"/>
    <cellStyle name="Besuchter Hyperlink" xfId="1574" builtinId="9" hidden="1"/>
    <cellStyle name="Besuchter Hyperlink" xfId="1576" builtinId="9" hidden="1"/>
    <cellStyle name="Besuchter Hyperlink" xfId="1578" builtinId="9" hidden="1"/>
    <cellStyle name="Besuchter Hyperlink" xfId="1580" builtinId="9" hidden="1"/>
    <cellStyle name="Besuchter Hyperlink" xfId="1582" builtinId="9" hidden="1"/>
    <cellStyle name="Besuchter Hyperlink" xfId="1584" builtinId="9" hidden="1"/>
    <cellStyle name="Besuchter Hyperlink" xfId="1586" builtinId="9" hidden="1"/>
    <cellStyle name="Besuchter Hyperlink" xfId="1588" builtinId="9" hidden="1"/>
    <cellStyle name="Besuchter Hyperlink" xfId="1590" builtinId="9" hidden="1"/>
    <cellStyle name="Besuchter Hyperlink" xfId="1592" builtinId="9" hidden="1"/>
    <cellStyle name="Besuchter Hyperlink" xfId="1594" builtinId="9" hidden="1"/>
    <cellStyle name="Besuchter Hyperlink" xfId="1596" builtinId="9" hidden="1"/>
    <cellStyle name="Besuchter Hyperlink" xfId="1598" builtinId="9" hidden="1"/>
    <cellStyle name="Besuchter Hyperlink" xfId="1600" builtinId="9" hidden="1"/>
    <cellStyle name="Besuchter Hyperlink" xfId="1602" builtinId="9" hidden="1"/>
    <cellStyle name="Besuchter Hyperlink" xfId="1604" builtinId="9" hidden="1"/>
    <cellStyle name="Besuchter Hyperlink" xfId="1606" builtinId="9" hidden="1"/>
    <cellStyle name="Besuchter Hyperlink" xfId="1608" builtinId="9" hidden="1"/>
    <cellStyle name="Besuchter Hyperlink" xfId="1610" builtinId="9" hidden="1"/>
    <cellStyle name="Besuchter Hyperlink" xfId="1612" builtinId="9" hidden="1"/>
    <cellStyle name="Besuchter Hyperlink" xfId="1614" builtinId="9" hidden="1"/>
    <cellStyle name="Besuchter Hyperlink" xfId="1616" builtinId="9" hidden="1"/>
    <cellStyle name="Besuchter Hyperlink" xfId="1618" builtinId="9" hidden="1"/>
    <cellStyle name="Besuchter Hyperlink" xfId="1620" builtinId="9" hidden="1"/>
    <cellStyle name="Besuchter Hyperlink" xfId="1622" builtinId="9" hidden="1"/>
    <cellStyle name="Besuchter Hyperlink" xfId="1624" builtinId="9" hidden="1"/>
    <cellStyle name="Besuchter Hyperlink" xfId="1626" builtinId="9" hidden="1"/>
    <cellStyle name="Besuchter Hyperlink" xfId="1628" builtinId="9" hidden="1"/>
    <cellStyle name="Besuchter Hyperlink" xfId="1630" builtinId="9" hidden="1"/>
    <cellStyle name="Besuchter Hyperlink" xfId="1632" builtinId="9" hidden="1"/>
    <cellStyle name="Besuchter Hyperlink" xfId="1634" builtinId="9" hidden="1"/>
    <cellStyle name="Besuchter Hyperlink" xfId="1636" builtinId="9" hidden="1"/>
    <cellStyle name="Besuchter Hyperlink" xfId="1638" builtinId="9" hidden="1"/>
    <cellStyle name="Besuchter Hyperlink" xfId="1640" builtinId="9" hidden="1"/>
    <cellStyle name="Besuchter Hyperlink" xfId="1642" builtinId="9" hidden="1"/>
    <cellStyle name="Besuchter Hyperlink" xfId="1644" builtinId="9" hidden="1"/>
    <cellStyle name="Besuchter Hyperlink" xfId="1646" builtinId="9" hidden="1"/>
    <cellStyle name="Besuchter Hyperlink" xfId="1648" builtinId="9" hidden="1"/>
    <cellStyle name="Besuchter Hyperlink" xfId="1650" builtinId="9" hidden="1"/>
    <cellStyle name="Besuchter Hyperlink" xfId="1652" builtinId="9" hidden="1"/>
    <cellStyle name="Besuchter Hyperlink" xfId="1654" builtinId="9" hidden="1"/>
    <cellStyle name="Besuchter Hyperlink" xfId="1656" builtinId="9" hidden="1"/>
    <cellStyle name="Besuchter Hyperlink" xfId="1658" builtinId="9" hidden="1"/>
    <cellStyle name="Besuchter Hyperlink" xfId="1660" builtinId="9" hidden="1"/>
    <cellStyle name="Besuchter Hyperlink" xfId="1662" builtinId="9" hidden="1"/>
    <cellStyle name="Besuchter Hyperlink" xfId="1664" builtinId="9" hidden="1"/>
    <cellStyle name="Besuchter Hyperlink" xfId="1666" builtinId="9" hidden="1"/>
    <cellStyle name="Besuchter Hyperlink" xfId="1668" builtinId="9" hidden="1"/>
    <cellStyle name="Besuchter Hyperlink" xfId="1670" builtinId="9" hidden="1"/>
    <cellStyle name="Besuchter Hyperlink" xfId="1672" builtinId="9" hidden="1"/>
    <cellStyle name="Besuchter Hyperlink" xfId="1674" builtinId="9" hidden="1"/>
    <cellStyle name="Besuchter Hyperlink" xfId="1676" builtinId="9" hidden="1"/>
    <cellStyle name="Besuchter Hyperlink" xfId="1678" builtinId="9" hidden="1"/>
    <cellStyle name="Besuchter Hyperlink" xfId="1680" builtinId="9" hidden="1"/>
    <cellStyle name="Besuchter Hyperlink" xfId="1682" builtinId="9" hidden="1"/>
    <cellStyle name="Besuchter Hyperlink" xfId="1684" builtinId="9" hidden="1"/>
    <cellStyle name="Besuchter Hyperlink" xfId="1686" builtinId="9" hidden="1"/>
    <cellStyle name="Besuchter Hyperlink" xfId="1688" builtinId="9" hidden="1"/>
    <cellStyle name="Besuchter Hyperlink" xfId="1690" builtinId="9" hidden="1"/>
    <cellStyle name="Besuchter Hyperlink" xfId="1692" builtinId="9" hidden="1"/>
    <cellStyle name="Besuchter Hyperlink" xfId="1694" builtinId="9" hidden="1"/>
    <cellStyle name="Besuchter Hyperlink" xfId="1696" builtinId="9" hidden="1"/>
    <cellStyle name="Besuchter Hyperlink" xfId="1698" builtinId="9" hidden="1"/>
    <cellStyle name="Besuchter Hyperlink" xfId="1700" builtinId="9" hidden="1"/>
    <cellStyle name="Besuchter Hyperlink" xfId="1702" builtinId="9" hidden="1"/>
    <cellStyle name="Besuchter Hyperlink" xfId="1704" builtinId="9" hidden="1"/>
    <cellStyle name="Besuchter Hyperlink" xfId="1706" builtinId="9" hidden="1"/>
    <cellStyle name="Besuchter Hyperlink" xfId="1708" builtinId="9" hidden="1"/>
    <cellStyle name="Besuchter Hyperlink" xfId="1710" builtinId="9" hidden="1"/>
    <cellStyle name="Besuchter Hyperlink" xfId="1712" builtinId="9" hidden="1"/>
    <cellStyle name="Besuchter Hyperlink" xfId="1714" builtinId="9" hidden="1"/>
    <cellStyle name="Besuchter Hyperlink" xfId="1716" builtinId="9" hidden="1"/>
    <cellStyle name="Besuchter Hyperlink" xfId="1718" builtinId="9" hidden="1"/>
    <cellStyle name="Besuchter Hyperlink" xfId="1720" builtinId="9" hidden="1"/>
    <cellStyle name="Besuchter Hyperlink" xfId="1722" builtinId="9" hidden="1"/>
    <cellStyle name="Besuchter Hyperlink" xfId="1724" builtinId="9" hidden="1"/>
    <cellStyle name="Besuchter Hyperlink" xfId="1726" builtinId="9" hidden="1"/>
    <cellStyle name="Besuchter Hyperlink" xfId="1728" builtinId="9" hidden="1"/>
    <cellStyle name="Besuchter Hyperlink" xfId="1730" builtinId="9" hidden="1"/>
    <cellStyle name="Besuchter Hyperlink" xfId="1732" builtinId="9" hidden="1"/>
    <cellStyle name="Besuchter Hyperlink" xfId="1734" builtinId="9" hidden="1"/>
    <cellStyle name="Besuchter Hyperlink" xfId="1736" builtinId="9" hidden="1"/>
    <cellStyle name="Besuchter Hyperlink" xfId="1738" builtinId="9" hidden="1"/>
    <cellStyle name="Besuchter Hyperlink" xfId="1740" builtinId="9" hidden="1"/>
    <cellStyle name="Besuchter Hyperlink" xfId="1742" builtinId="9" hidden="1"/>
    <cellStyle name="Besuchter Hyperlink" xfId="1744" builtinId="9" hidden="1"/>
    <cellStyle name="Besuchter Hyperlink" xfId="1746" builtinId="9" hidden="1"/>
    <cellStyle name="Besuchter Hyperlink" xfId="1748" builtinId="9" hidden="1"/>
    <cellStyle name="Besuchter Hyperlink" xfId="1750" builtinId="9" hidden="1"/>
    <cellStyle name="Besuchter Hyperlink" xfId="1752" builtinId="9" hidden="1"/>
    <cellStyle name="Besuchter Hyperlink" xfId="1754" builtinId="9" hidden="1"/>
    <cellStyle name="Besuchter Hyperlink" xfId="1756" builtinId="9" hidden="1"/>
    <cellStyle name="Besuchter Hyperlink" xfId="1758" builtinId="9" hidden="1"/>
    <cellStyle name="Besuchter Hyperlink" xfId="1760" builtinId="9" hidden="1"/>
    <cellStyle name="Besuchter Hyperlink" xfId="1762" builtinId="9" hidden="1"/>
    <cellStyle name="Besuchter Hyperlink" xfId="1764" builtinId="9" hidden="1"/>
    <cellStyle name="Besuchter Hyperlink" xfId="1766" builtinId="9" hidden="1"/>
    <cellStyle name="Besuchter Hyperlink" xfId="1768" builtinId="9" hidden="1"/>
    <cellStyle name="Besuchter Hyperlink" xfId="1770" builtinId="9" hidden="1"/>
    <cellStyle name="Besuchter Hyperlink" xfId="1772" builtinId="9" hidden="1"/>
    <cellStyle name="Besuchter Hyperlink" xfId="1774" builtinId="9" hidden="1"/>
    <cellStyle name="Besuchter Hyperlink" xfId="1776" builtinId="9" hidden="1"/>
    <cellStyle name="Besuchter Hyperlink" xfId="1778" builtinId="9" hidden="1"/>
    <cellStyle name="Besuchter Hyperlink" xfId="1780" builtinId="9" hidden="1"/>
    <cellStyle name="Besuchter Hyperlink" xfId="1782" builtinId="9" hidden="1"/>
    <cellStyle name="Besuchter Hyperlink" xfId="1784" builtinId="9" hidden="1"/>
    <cellStyle name="Besuchter Hyperlink" xfId="1786" builtinId="9" hidden="1"/>
    <cellStyle name="Besuchter Hyperlink" xfId="1788" builtinId="9" hidden="1"/>
    <cellStyle name="Besuchter Hyperlink" xfId="1790" builtinId="9" hidden="1"/>
    <cellStyle name="Besuchter Hyperlink" xfId="1792" builtinId="9" hidden="1"/>
    <cellStyle name="Besuchter Hyperlink" xfId="1794" builtinId="9" hidden="1"/>
    <cellStyle name="Besuchter Hyperlink" xfId="1796" builtinId="9" hidden="1"/>
    <cellStyle name="Besuchter Hyperlink" xfId="1798" builtinId="9" hidden="1"/>
    <cellStyle name="Besuchter Hyperlink" xfId="1800" builtinId="9" hidden="1"/>
    <cellStyle name="Besuchter Hyperlink" xfId="1802" builtinId="9" hidden="1"/>
    <cellStyle name="Besuchter Hyperlink" xfId="1804" builtinId="9" hidden="1"/>
    <cellStyle name="Besuchter Hyperlink" xfId="1806" builtinId="9" hidden="1"/>
    <cellStyle name="Besuchter Hyperlink" xfId="1808" builtinId="9" hidden="1"/>
    <cellStyle name="Besuchter Hyperlink" xfId="1810" builtinId="9" hidden="1"/>
    <cellStyle name="Besuchter Hyperlink" xfId="1812" builtinId="9" hidden="1"/>
    <cellStyle name="Besuchter Hyperlink" xfId="1814" builtinId="9" hidden="1"/>
    <cellStyle name="Besuchter Hyperlink" xfId="1816" builtinId="9" hidden="1"/>
    <cellStyle name="Besuchter Hyperlink" xfId="1818" builtinId="9" hidden="1"/>
    <cellStyle name="Besuchter Hyperlink" xfId="1820" builtinId="9" hidden="1"/>
    <cellStyle name="Besuchter Hyperlink" xfId="1822" builtinId="9" hidden="1"/>
    <cellStyle name="Besuchter Hyperlink" xfId="1824" builtinId="9" hidden="1"/>
    <cellStyle name="Besuchter Hyperlink" xfId="1826" builtinId="9" hidden="1"/>
    <cellStyle name="Besuchter Hyperlink" xfId="1828" builtinId="9" hidden="1"/>
    <cellStyle name="Besuchter Hyperlink" xfId="1830" builtinId="9" hidden="1"/>
    <cellStyle name="Besuchter Hyperlink" xfId="1832" builtinId="9" hidden="1"/>
    <cellStyle name="Besuchter Hyperlink" xfId="1834" builtinId="9" hidden="1"/>
    <cellStyle name="Besuchter Hyperlink" xfId="1836" builtinId="9" hidden="1"/>
    <cellStyle name="Besuchter Hyperlink" xfId="1838" builtinId="9" hidden="1"/>
    <cellStyle name="Besuchter Hyperlink" xfId="1840" builtinId="9" hidden="1"/>
    <cellStyle name="Besuchter Hyperlink" xfId="1842" builtinId="9" hidden="1"/>
    <cellStyle name="Besuchter Hyperlink" xfId="1844" builtinId="9" hidden="1"/>
    <cellStyle name="Besuchter Hyperlink" xfId="1846" builtinId="9" hidden="1"/>
    <cellStyle name="Besuchter Hyperlink" xfId="1848" builtinId="9" hidden="1"/>
    <cellStyle name="Besuchter Hyperlink" xfId="1850" builtinId="9" hidden="1"/>
    <cellStyle name="Besuchter Hyperlink" xfId="1852" builtinId="9" hidden="1"/>
    <cellStyle name="Besuchter Hyperlink" xfId="1854" builtinId="9" hidden="1"/>
    <cellStyle name="Besuchter Hyperlink" xfId="1856" builtinId="9" hidden="1"/>
    <cellStyle name="Besuchter Hyperlink" xfId="1858" builtinId="9" hidden="1"/>
    <cellStyle name="Besuchter Hyperlink" xfId="1860" builtinId="9" hidden="1"/>
    <cellStyle name="Besuchter Hyperlink" xfId="1862" builtinId="9" hidden="1"/>
    <cellStyle name="Besuchter Hyperlink" xfId="1864" builtinId="9" hidden="1"/>
    <cellStyle name="Besuchter Hyperlink" xfId="1866" builtinId="9" hidden="1"/>
    <cellStyle name="Besuchter Hyperlink" xfId="1868" builtinId="9" hidden="1"/>
    <cellStyle name="Besuchter Hyperlink" xfId="1870" builtinId="9" hidden="1"/>
    <cellStyle name="Besuchter Hyperlink" xfId="1872" builtinId="9" hidden="1"/>
    <cellStyle name="Besuchter Hyperlink" xfId="1874" builtinId="9" hidden="1"/>
    <cellStyle name="Besuchter Hyperlink" xfId="1876" builtinId="9" hidden="1"/>
    <cellStyle name="Besuchter Hyperlink" xfId="1878" builtinId="9" hidden="1"/>
    <cellStyle name="Besuchter Hyperlink" xfId="1880" builtinId="9" hidden="1"/>
    <cellStyle name="Besuchter Hyperlink" xfId="1882" builtinId="9" hidden="1"/>
    <cellStyle name="Besuchter Hyperlink" xfId="1885" builtinId="9" hidden="1"/>
    <cellStyle name="Besuchter Hyperlink" xfId="1887" builtinId="9" hidden="1"/>
    <cellStyle name="Besuchter Hyperlink" xfId="1889" builtinId="9" hidden="1"/>
    <cellStyle name="Besuchter Hyperlink" xfId="1891" builtinId="9" hidden="1"/>
    <cellStyle name="Besuchter Hyperlink" xfId="1893" builtinId="9" hidden="1"/>
    <cellStyle name="Besuchter Hyperlink" xfId="1895" builtinId="9" hidden="1"/>
    <cellStyle name="Besuchter Hyperlink" xfId="1897" builtinId="9" hidden="1"/>
    <cellStyle name="Besuchter Hyperlink" xfId="1899" builtinId="9" hidden="1"/>
    <cellStyle name="Link" xfId="1" builtinId="8"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Link" xfId="19" builtinId="8" hidden="1"/>
    <cellStyle name="Link" xfId="21" builtinId="8" hidden="1"/>
    <cellStyle name="Link" xfId="23" builtinId="8" hidden="1"/>
    <cellStyle name="Link" xfId="25" builtinId="8" hidden="1"/>
    <cellStyle name="Link" xfId="27" builtinId="8" hidden="1"/>
    <cellStyle name="Link" xfId="29" builtinId="8" hidden="1"/>
    <cellStyle name="Link" xfId="31" builtinId="8" hidden="1"/>
    <cellStyle name="Link" xfId="33" builtinId="8" hidden="1"/>
    <cellStyle name="Link" xfId="35" builtinId="8" hidden="1"/>
    <cellStyle name="Link" xfId="37" builtinId="8" hidden="1"/>
    <cellStyle name="Link" xfId="39" builtinId="8" hidden="1"/>
    <cellStyle name="Link" xfId="41" builtinId="8" hidden="1"/>
    <cellStyle name="Link" xfId="43" builtinId="8" hidden="1"/>
    <cellStyle name="Link" xfId="45" builtinId="8" hidden="1"/>
    <cellStyle name="Link" xfId="47" builtinId="8" hidden="1"/>
    <cellStyle name="Link" xfId="49" builtinId="8" hidden="1"/>
    <cellStyle name="Link" xfId="51" builtinId="8" hidden="1"/>
    <cellStyle name="Link" xfId="53" builtinId="8" hidden="1"/>
    <cellStyle name="Link" xfId="55" builtinId="8" hidden="1"/>
    <cellStyle name="Link" xfId="57" builtinId="8" hidden="1"/>
    <cellStyle name="Link" xfId="59" builtinId="8" hidden="1"/>
    <cellStyle name="Link" xfId="61" builtinId="8" hidden="1"/>
    <cellStyle name="Link" xfId="63" builtinId="8" hidden="1"/>
    <cellStyle name="Link" xfId="65" builtinId="8" hidden="1"/>
    <cellStyle name="Link" xfId="67" builtinId="8" hidden="1"/>
    <cellStyle name="Link" xfId="69" builtinId="8" hidden="1"/>
    <cellStyle name="Link" xfId="71" builtinId="8" hidden="1"/>
    <cellStyle name="Link" xfId="73" builtinId="8" hidden="1"/>
    <cellStyle name="Link" xfId="75" builtinId="8" hidden="1"/>
    <cellStyle name="Link" xfId="77" builtinId="8" hidden="1"/>
    <cellStyle name="Link" xfId="79" builtinId="8" hidden="1"/>
    <cellStyle name="Link" xfId="81" builtinId="8" hidden="1"/>
    <cellStyle name="Link" xfId="83" builtinId="8" hidden="1"/>
    <cellStyle name="Link" xfId="85" builtinId="8" hidden="1"/>
    <cellStyle name="Link" xfId="87" builtinId="8" hidden="1"/>
    <cellStyle name="Link" xfId="89" builtinId="8" hidden="1"/>
    <cellStyle name="Link" xfId="91" builtinId="8" hidden="1"/>
    <cellStyle name="Link" xfId="93" builtinId="8" hidden="1"/>
    <cellStyle name="Link" xfId="95" builtinId="8" hidden="1"/>
    <cellStyle name="Link" xfId="97" builtinId="8" hidden="1"/>
    <cellStyle name="Link" xfId="99" builtinId="8" hidden="1"/>
    <cellStyle name="Link" xfId="101" builtinId="8" hidden="1"/>
    <cellStyle name="Link" xfId="103" builtinId="8" hidden="1"/>
    <cellStyle name="Link" xfId="105" builtinId="8" hidden="1"/>
    <cellStyle name="Link" xfId="107" builtinId="8" hidden="1"/>
    <cellStyle name="Link" xfId="109" builtinId="8" hidden="1"/>
    <cellStyle name="Link" xfId="111" builtinId="8" hidden="1"/>
    <cellStyle name="Link" xfId="113" builtinId="8" hidden="1"/>
    <cellStyle name="Link" xfId="115" builtinId="8" hidden="1"/>
    <cellStyle name="Link" xfId="117" builtinId="8" hidden="1"/>
    <cellStyle name="Link" xfId="119" builtinId="8" hidden="1"/>
    <cellStyle name="Link" xfId="121" builtinId="8" hidden="1"/>
    <cellStyle name="Link" xfId="123" builtinId="8" hidden="1"/>
    <cellStyle name="Link" xfId="125" builtinId="8" hidden="1"/>
    <cellStyle name="Link" xfId="127" builtinId="8" hidden="1"/>
    <cellStyle name="Link" xfId="129" builtinId="8" hidden="1"/>
    <cellStyle name="Link" xfId="131" builtinId="8" hidden="1"/>
    <cellStyle name="Link" xfId="133" builtinId="8" hidden="1"/>
    <cellStyle name="Link" xfId="135" builtinId="8" hidden="1"/>
    <cellStyle name="Link" xfId="137" builtinId="8" hidden="1"/>
    <cellStyle name="Link" xfId="139" builtinId="8" hidden="1"/>
    <cellStyle name="Link" xfId="141" builtinId="8" hidden="1"/>
    <cellStyle name="Link" xfId="143" builtinId="8" hidden="1"/>
    <cellStyle name="Link" xfId="145" builtinId="8" hidden="1"/>
    <cellStyle name="Link" xfId="147" builtinId="8" hidden="1"/>
    <cellStyle name="Link" xfId="149" builtinId="8" hidden="1"/>
    <cellStyle name="Link" xfId="151" builtinId="8" hidden="1"/>
    <cellStyle name="Link" xfId="153" builtinId="8" hidden="1"/>
    <cellStyle name="Link" xfId="156" builtinId="8" hidden="1"/>
    <cellStyle name="Link" xfId="158" builtinId="8" hidden="1"/>
    <cellStyle name="Link" xfId="160" builtinId="8" hidden="1"/>
    <cellStyle name="Link" xfId="162" builtinId="8" hidden="1"/>
    <cellStyle name="Link" xfId="164" builtinId="8" hidden="1"/>
    <cellStyle name="Link" xfId="166" builtinId="8" hidden="1"/>
    <cellStyle name="Link" xfId="168" builtinId="8" hidden="1"/>
    <cellStyle name="Link" xfId="170" builtinId="8" hidden="1"/>
    <cellStyle name="Link" xfId="172" builtinId="8" hidden="1"/>
    <cellStyle name="Link" xfId="174" builtinId="8" hidden="1"/>
    <cellStyle name="Link" xfId="176" builtinId="8" hidden="1"/>
    <cellStyle name="Link" xfId="178" builtinId="8" hidden="1"/>
    <cellStyle name="Link" xfId="180" builtinId="8" hidden="1"/>
    <cellStyle name="Link" xfId="182" builtinId="8" hidden="1"/>
    <cellStyle name="Link" xfId="184" builtinId="8" hidden="1"/>
    <cellStyle name="Link" xfId="186" builtinId="8" hidden="1"/>
    <cellStyle name="Link" xfId="188" builtinId="8" hidden="1"/>
    <cellStyle name="Link" xfId="190" builtinId="8" hidden="1"/>
    <cellStyle name="Link" xfId="192" builtinId="8" hidden="1"/>
    <cellStyle name="Link" xfId="194" builtinId="8" hidden="1"/>
    <cellStyle name="Link" xfId="196" builtinId="8" hidden="1"/>
    <cellStyle name="Link" xfId="198" builtinId="8" hidden="1"/>
    <cellStyle name="Link" xfId="200" builtinId="8" hidden="1"/>
    <cellStyle name="Link" xfId="202" builtinId="8" hidden="1"/>
    <cellStyle name="Link" xfId="204" builtinId="8" hidden="1"/>
    <cellStyle name="Link" xfId="206" builtinId="8" hidden="1"/>
    <cellStyle name="Link" xfId="208" builtinId="8" hidden="1"/>
    <cellStyle name="Link" xfId="210" builtinId="8" hidden="1"/>
    <cellStyle name="Link" xfId="212" builtinId="8" hidden="1"/>
    <cellStyle name="Link" xfId="214" builtinId="8" hidden="1"/>
    <cellStyle name="Link" xfId="216" builtinId="8" hidden="1"/>
    <cellStyle name="Link" xfId="218" builtinId="8" hidden="1"/>
    <cellStyle name="Link" xfId="220" builtinId="8" hidden="1"/>
    <cellStyle name="Link" xfId="222" builtinId="8" hidden="1"/>
    <cellStyle name="Link" xfId="224" builtinId="8" hidden="1"/>
    <cellStyle name="Link" xfId="226" builtinId="8" hidden="1"/>
    <cellStyle name="Link" xfId="228" builtinId="8" hidden="1"/>
    <cellStyle name="Link" xfId="230" builtinId="8" hidden="1"/>
    <cellStyle name="Link" xfId="232" builtinId="8" hidden="1"/>
    <cellStyle name="Link" xfId="234" builtinId="8" hidden="1"/>
    <cellStyle name="Link" xfId="236" builtinId="8" hidden="1"/>
    <cellStyle name="Link" xfId="238" builtinId="8" hidden="1"/>
    <cellStyle name="Link" xfId="240" builtinId="8" hidden="1"/>
    <cellStyle name="Link" xfId="242" builtinId="8" hidden="1"/>
    <cellStyle name="Link" xfId="244" builtinId="8" hidden="1"/>
    <cellStyle name="Link" xfId="246" builtinId="8" hidden="1"/>
    <cellStyle name="Link" xfId="248" builtinId="8" hidden="1"/>
    <cellStyle name="Link" xfId="250" builtinId="8" hidden="1"/>
    <cellStyle name="Link" xfId="252" builtinId="8" hidden="1"/>
    <cellStyle name="Link" xfId="254" builtinId="8" hidden="1"/>
    <cellStyle name="Link" xfId="256" builtinId="8" hidden="1"/>
    <cellStyle name="Link" xfId="258" builtinId="8" hidden="1"/>
    <cellStyle name="Link" xfId="260" builtinId="8" hidden="1"/>
    <cellStyle name="Link" xfId="262" builtinId="8" hidden="1"/>
    <cellStyle name="Link" xfId="264" builtinId="8" hidden="1"/>
    <cellStyle name="Link" xfId="266" builtinId="8" hidden="1"/>
    <cellStyle name="Link" xfId="268" builtinId="8" hidden="1"/>
    <cellStyle name="Link" xfId="270" builtinId="8" hidden="1"/>
    <cellStyle name="Link" xfId="272" builtinId="8" hidden="1"/>
    <cellStyle name="Link" xfId="274" builtinId="8" hidden="1"/>
    <cellStyle name="Link" xfId="276" builtinId="8" hidden="1"/>
    <cellStyle name="Link" xfId="278" builtinId="8" hidden="1"/>
    <cellStyle name="Link" xfId="280" builtinId="8" hidden="1"/>
    <cellStyle name="Link" xfId="282" builtinId="8" hidden="1"/>
    <cellStyle name="Link" xfId="284" builtinId="8" hidden="1"/>
    <cellStyle name="Link" xfId="286" builtinId="8" hidden="1"/>
    <cellStyle name="Link" xfId="288" builtinId="8" hidden="1"/>
    <cellStyle name="Link" xfId="290" builtinId="8" hidden="1"/>
    <cellStyle name="Link" xfId="292" builtinId="8" hidden="1"/>
    <cellStyle name="Link" xfId="294" builtinId="8" hidden="1"/>
    <cellStyle name="Link" xfId="296" builtinId="8" hidden="1"/>
    <cellStyle name="Link" xfId="298" builtinId="8" hidden="1"/>
    <cellStyle name="Link" xfId="300" builtinId="8" hidden="1"/>
    <cellStyle name="Link" xfId="302" builtinId="8" hidden="1"/>
    <cellStyle name="Link" xfId="304" builtinId="8" hidden="1"/>
    <cellStyle name="Link" xfId="306" builtinId="8" hidden="1"/>
    <cellStyle name="Link" xfId="308" builtinId="8" hidden="1"/>
    <cellStyle name="Link" xfId="310" builtinId="8" hidden="1"/>
    <cellStyle name="Link" xfId="312" builtinId="8" hidden="1"/>
    <cellStyle name="Link" xfId="314" builtinId="8" hidden="1"/>
    <cellStyle name="Link" xfId="316" builtinId="8" hidden="1"/>
    <cellStyle name="Link" xfId="318" builtinId="8" hidden="1"/>
    <cellStyle name="Link" xfId="320" builtinId="8" hidden="1"/>
    <cellStyle name="Link" xfId="322" builtinId="8" hidden="1"/>
    <cellStyle name="Link" xfId="324" builtinId="8" hidden="1"/>
    <cellStyle name="Link" xfId="326" builtinId="8" hidden="1"/>
    <cellStyle name="Link" xfId="328" builtinId="8" hidden="1"/>
    <cellStyle name="Link" xfId="330" builtinId="8" hidden="1"/>
    <cellStyle name="Link" xfId="332" builtinId="8" hidden="1"/>
    <cellStyle name="Link" xfId="334" builtinId="8" hidden="1"/>
    <cellStyle name="Link" xfId="336" builtinId="8" hidden="1"/>
    <cellStyle name="Link" xfId="338" builtinId="8" hidden="1"/>
    <cellStyle name="Link" xfId="340" builtinId="8" hidden="1"/>
    <cellStyle name="Link" xfId="342" builtinId="8" hidden="1"/>
    <cellStyle name="Link" xfId="344" builtinId="8" hidden="1"/>
    <cellStyle name="Link" xfId="346" builtinId="8" hidden="1"/>
    <cellStyle name="Link" xfId="348" builtinId="8" hidden="1"/>
    <cellStyle name="Link" xfId="350" builtinId="8" hidden="1"/>
    <cellStyle name="Link" xfId="352" builtinId="8" hidden="1"/>
    <cellStyle name="Link" xfId="354" builtinId="8" hidden="1"/>
    <cellStyle name="Link" xfId="356" builtinId="8" hidden="1"/>
    <cellStyle name="Link" xfId="358" builtinId="8" hidden="1"/>
    <cellStyle name="Link" xfId="360" builtinId="8" hidden="1"/>
    <cellStyle name="Link" xfId="362" builtinId="8" hidden="1"/>
    <cellStyle name="Link" xfId="364" builtinId="8" hidden="1"/>
    <cellStyle name="Link" xfId="366" builtinId="8" hidden="1"/>
    <cellStyle name="Link" xfId="368" builtinId="8" hidden="1"/>
    <cellStyle name="Link" xfId="370" builtinId="8" hidden="1"/>
    <cellStyle name="Link" xfId="372" builtinId="8" hidden="1"/>
    <cellStyle name="Link" xfId="374" builtinId="8" hidden="1"/>
    <cellStyle name="Link" xfId="376" builtinId="8" hidden="1"/>
    <cellStyle name="Link" xfId="378" builtinId="8" hidden="1"/>
    <cellStyle name="Link" xfId="380" builtinId="8" hidden="1"/>
    <cellStyle name="Link" xfId="382" builtinId="8" hidden="1"/>
    <cellStyle name="Link" xfId="384" builtinId="8" hidden="1"/>
    <cellStyle name="Link" xfId="386" builtinId="8" hidden="1"/>
    <cellStyle name="Link" xfId="388" builtinId="8" hidden="1"/>
    <cellStyle name="Link" xfId="390" builtinId="8" hidden="1"/>
    <cellStyle name="Link" xfId="392" builtinId="8" hidden="1"/>
    <cellStyle name="Link" xfId="394" builtinId="8" hidden="1"/>
    <cellStyle name="Link" xfId="396" builtinId="8" hidden="1"/>
    <cellStyle name="Link" xfId="398" builtinId="8" hidden="1"/>
    <cellStyle name="Link" xfId="400" builtinId="8" hidden="1"/>
    <cellStyle name="Link" xfId="402" builtinId="8" hidden="1"/>
    <cellStyle name="Link" xfId="404" builtinId="8" hidden="1"/>
    <cellStyle name="Link" xfId="406" builtinId="8" hidden="1"/>
    <cellStyle name="Link" xfId="408" builtinId="8" hidden="1"/>
    <cellStyle name="Link" xfId="410" builtinId="8" hidden="1"/>
    <cellStyle name="Link" xfId="412" builtinId="8" hidden="1"/>
    <cellStyle name="Link" xfId="414" builtinId="8" hidden="1"/>
    <cellStyle name="Link" xfId="416" builtinId="8" hidden="1"/>
    <cellStyle name="Link" xfId="418" builtinId="8" hidden="1"/>
    <cellStyle name="Link" xfId="420" builtinId="8" hidden="1"/>
    <cellStyle name="Link" xfId="422" builtinId="8" hidden="1"/>
    <cellStyle name="Link" xfId="424" builtinId="8" hidden="1"/>
    <cellStyle name="Link" xfId="426" builtinId="8" hidden="1"/>
    <cellStyle name="Link" xfId="428" builtinId="8" hidden="1"/>
    <cellStyle name="Link" xfId="430" builtinId="8" hidden="1"/>
    <cellStyle name="Link" xfId="432" builtinId="8" hidden="1"/>
    <cellStyle name="Link" xfId="434" builtinId="8" hidden="1"/>
    <cellStyle name="Link" xfId="436" builtinId="8" hidden="1"/>
    <cellStyle name="Link" xfId="438" builtinId="8" hidden="1"/>
    <cellStyle name="Link" xfId="440" builtinId="8" hidden="1"/>
    <cellStyle name="Link" xfId="442" builtinId="8" hidden="1"/>
    <cellStyle name="Link" xfId="444" builtinId="8" hidden="1"/>
    <cellStyle name="Link" xfId="446" builtinId="8" hidden="1"/>
    <cellStyle name="Link" xfId="448" builtinId="8" hidden="1"/>
    <cellStyle name="Link" xfId="450" builtinId="8" hidden="1"/>
    <cellStyle name="Link" xfId="452" builtinId="8" hidden="1"/>
    <cellStyle name="Link" xfId="454" builtinId="8" hidden="1"/>
    <cellStyle name="Link" xfId="456" builtinId="8" hidden="1"/>
    <cellStyle name="Link" xfId="458" builtinId="8" hidden="1"/>
    <cellStyle name="Link" xfId="460" builtinId="8" hidden="1"/>
    <cellStyle name="Link" xfId="462" builtinId="8" hidden="1"/>
    <cellStyle name="Link" xfId="464" builtinId="8" hidden="1"/>
    <cellStyle name="Link" xfId="466" builtinId="8" hidden="1"/>
    <cellStyle name="Link" xfId="468" builtinId="8" hidden="1"/>
    <cellStyle name="Link" xfId="470" builtinId="8" hidden="1"/>
    <cellStyle name="Link" xfId="472" builtinId="8" hidden="1"/>
    <cellStyle name="Link" xfId="474" builtinId="8" hidden="1"/>
    <cellStyle name="Link" xfId="476" builtinId="8" hidden="1"/>
    <cellStyle name="Link" xfId="478" builtinId="8" hidden="1"/>
    <cellStyle name="Link" xfId="480" builtinId="8" hidden="1"/>
    <cellStyle name="Link" xfId="482" builtinId="8" hidden="1"/>
    <cellStyle name="Link" xfId="484" builtinId="8" hidden="1"/>
    <cellStyle name="Link" xfId="486" builtinId="8" hidden="1"/>
    <cellStyle name="Link" xfId="488" builtinId="8" hidden="1"/>
    <cellStyle name="Link" xfId="490" builtinId="8" hidden="1"/>
    <cellStyle name="Link" xfId="492" builtinId="8" hidden="1"/>
    <cellStyle name="Link" xfId="494" builtinId="8" hidden="1"/>
    <cellStyle name="Link" xfId="496" builtinId="8" hidden="1"/>
    <cellStyle name="Link" xfId="498" builtinId="8" hidden="1"/>
    <cellStyle name="Link" xfId="500" builtinId="8" hidden="1"/>
    <cellStyle name="Link" xfId="502" builtinId="8" hidden="1"/>
    <cellStyle name="Link" xfId="504" builtinId="8" hidden="1"/>
    <cellStyle name="Link" xfId="506" builtinId="8" hidden="1"/>
    <cellStyle name="Link" xfId="508" builtinId="8" hidden="1"/>
    <cellStyle name="Link" xfId="510" builtinId="8" hidden="1"/>
    <cellStyle name="Link" xfId="512" builtinId="8" hidden="1"/>
    <cellStyle name="Link" xfId="514" builtinId="8" hidden="1"/>
    <cellStyle name="Link" xfId="516" builtinId="8" hidden="1"/>
    <cellStyle name="Link" xfId="518" builtinId="8" hidden="1"/>
    <cellStyle name="Link" xfId="520" builtinId="8" hidden="1"/>
    <cellStyle name="Link" xfId="522" builtinId="8" hidden="1"/>
    <cellStyle name="Link" xfId="524" builtinId="8" hidden="1"/>
    <cellStyle name="Link" xfId="526" builtinId="8" hidden="1"/>
    <cellStyle name="Link" xfId="528" builtinId="8" hidden="1"/>
    <cellStyle name="Link" xfId="530" builtinId="8" hidden="1"/>
    <cellStyle name="Link" xfId="532" builtinId="8" hidden="1"/>
    <cellStyle name="Link" xfId="534" builtinId="8" hidden="1"/>
    <cellStyle name="Link" xfId="536" builtinId="8" hidden="1"/>
    <cellStyle name="Link" xfId="538" builtinId="8" hidden="1"/>
    <cellStyle name="Link" xfId="540" builtinId="8" hidden="1"/>
    <cellStyle name="Link" xfId="542" builtinId="8" hidden="1"/>
    <cellStyle name="Link" xfId="544" builtinId="8" hidden="1"/>
    <cellStyle name="Link" xfId="546" builtinId="8" hidden="1"/>
    <cellStyle name="Link" xfId="548" builtinId="8" hidden="1"/>
    <cellStyle name="Link" xfId="550" builtinId="8" hidden="1"/>
    <cellStyle name="Link" xfId="552" builtinId="8" hidden="1"/>
    <cellStyle name="Link" xfId="554" builtinId="8" hidden="1"/>
    <cellStyle name="Link" xfId="556" builtinId="8" hidden="1"/>
    <cellStyle name="Link" xfId="558" builtinId="8" hidden="1"/>
    <cellStyle name="Link" xfId="560" builtinId="8" hidden="1"/>
    <cellStyle name="Link" xfId="562" builtinId="8" hidden="1"/>
    <cellStyle name="Link" xfId="564" builtinId="8" hidden="1"/>
    <cellStyle name="Link" xfId="566" builtinId="8" hidden="1"/>
    <cellStyle name="Link" xfId="568" builtinId="8" hidden="1"/>
    <cellStyle name="Link" xfId="570" builtinId="8" hidden="1"/>
    <cellStyle name="Link" xfId="572" builtinId="8" hidden="1"/>
    <cellStyle name="Link" xfId="574" builtinId="8" hidden="1"/>
    <cellStyle name="Link" xfId="576" builtinId="8" hidden="1"/>
    <cellStyle name="Link" xfId="578" builtinId="8" hidden="1"/>
    <cellStyle name="Link" xfId="580" builtinId="8" hidden="1"/>
    <cellStyle name="Link" xfId="582" builtinId="8" hidden="1"/>
    <cellStyle name="Link" xfId="584" builtinId="8" hidden="1"/>
    <cellStyle name="Link" xfId="586" builtinId="8" hidden="1"/>
    <cellStyle name="Link" xfId="588" builtinId="8" hidden="1"/>
    <cellStyle name="Link" xfId="590" builtinId="8" hidden="1"/>
    <cellStyle name="Link" xfId="592" builtinId="8" hidden="1"/>
    <cellStyle name="Link" xfId="594" builtinId="8" hidden="1"/>
    <cellStyle name="Link" xfId="596" builtinId="8" hidden="1"/>
    <cellStyle name="Link" xfId="598" builtinId="8" hidden="1"/>
    <cellStyle name="Link" xfId="600" builtinId="8" hidden="1"/>
    <cellStyle name="Link" xfId="602" builtinId="8" hidden="1"/>
    <cellStyle name="Link" xfId="604" builtinId="8" hidden="1"/>
    <cellStyle name="Link" xfId="606" builtinId="8" hidden="1"/>
    <cellStyle name="Link" xfId="608" builtinId="8" hidden="1"/>
    <cellStyle name="Link" xfId="610" builtinId="8" hidden="1"/>
    <cellStyle name="Link" xfId="612" builtinId="8" hidden="1"/>
    <cellStyle name="Link" xfId="614" builtinId="8" hidden="1"/>
    <cellStyle name="Link" xfId="616" builtinId="8" hidden="1"/>
    <cellStyle name="Link" xfId="618" builtinId="8" hidden="1"/>
    <cellStyle name="Link" xfId="620" builtinId="8" hidden="1"/>
    <cellStyle name="Link" xfId="622" builtinId="8" hidden="1"/>
    <cellStyle name="Link" xfId="624" builtinId="8" hidden="1"/>
    <cellStyle name="Link" xfId="626" builtinId="8" hidden="1"/>
    <cellStyle name="Link" xfId="628" builtinId="8" hidden="1"/>
    <cellStyle name="Link" xfId="630" builtinId="8" hidden="1"/>
    <cellStyle name="Link" xfId="632" builtinId="8" hidden="1"/>
    <cellStyle name="Link" xfId="634" builtinId="8" hidden="1"/>
    <cellStyle name="Link" xfId="636" builtinId="8" hidden="1"/>
    <cellStyle name="Link" xfId="638" builtinId="8" hidden="1"/>
    <cellStyle name="Link" xfId="640" builtinId="8" hidden="1"/>
    <cellStyle name="Link" xfId="642" builtinId="8" hidden="1"/>
    <cellStyle name="Link" xfId="644" builtinId="8" hidden="1"/>
    <cellStyle name="Link" xfId="646" builtinId="8" hidden="1"/>
    <cellStyle name="Link" xfId="648" builtinId="8" hidden="1"/>
    <cellStyle name="Link" xfId="650" builtinId="8" hidden="1"/>
    <cellStyle name="Link" xfId="652" builtinId="8" hidden="1"/>
    <cellStyle name="Link" xfId="654" builtinId="8" hidden="1"/>
    <cellStyle name="Link" xfId="656" builtinId="8" hidden="1"/>
    <cellStyle name="Link" xfId="658" builtinId="8" hidden="1"/>
    <cellStyle name="Link" xfId="660" builtinId="8" hidden="1"/>
    <cellStyle name="Link" xfId="662" builtinId="8" hidden="1"/>
    <cellStyle name="Link" xfId="664" builtinId="8" hidden="1"/>
    <cellStyle name="Link" xfId="666" builtinId="8" hidden="1"/>
    <cellStyle name="Link" xfId="668" builtinId="8" hidden="1"/>
    <cellStyle name="Link" xfId="670" builtinId="8" hidden="1"/>
    <cellStyle name="Link" xfId="672" builtinId="8" hidden="1"/>
    <cellStyle name="Link" xfId="674" builtinId="8" hidden="1"/>
    <cellStyle name="Link" xfId="676" builtinId="8" hidden="1"/>
    <cellStyle name="Link" xfId="678" builtinId="8" hidden="1"/>
    <cellStyle name="Link" xfId="680" builtinId="8" hidden="1"/>
    <cellStyle name="Link" xfId="682" builtinId="8" hidden="1"/>
    <cellStyle name="Link" xfId="685" builtinId="8" hidden="1"/>
    <cellStyle name="Link" xfId="687" builtinId="8" hidden="1"/>
    <cellStyle name="Link" xfId="689" builtinId="8" hidden="1"/>
    <cellStyle name="Link" xfId="691" builtinId="8" hidden="1"/>
    <cellStyle name="Link" xfId="693" builtinId="8" hidden="1"/>
    <cellStyle name="Link" xfId="695" builtinId="8" hidden="1"/>
    <cellStyle name="Link" xfId="697" builtinId="8" hidden="1"/>
    <cellStyle name="Link" xfId="699" builtinId="8" hidden="1"/>
    <cellStyle name="Link" xfId="701" builtinId="8" hidden="1"/>
    <cellStyle name="Link" xfId="703" builtinId="8" hidden="1"/>
    <cellStyle name="Link" xfId="705" builtinId="8" hidden="1"/>
    <cellStyle name="Link" xfId="707" builtinId="8" hidden="1"/>
    <cellStyle name="Link" xfId="709" builtinId="8" hidden="1"/>
    <cellStyle name="Link" xfId="711" builtinId="8" hidden="1"/>
    <cellStyle name="Link" xfId="713" builtinId="8" hidden="1"/>
    <cellStyle name="Link" xfId="715" builtinId="8" hidden="1"/>
    <cellStyle name="Link" xfId="717" builtinId="8" hidden="1"/>
    <cellStyle name="Link" xfId="719" builtinId="8" hidden="1"/>
    <cellStyle name="Link" xfId="721" builtinId="8" hidden="1"/>
    <cellStyle name="Link" xfId="723" builtinId="8" hidden="1"/>
    <cellStyle name="Link" xfId="725" builtinId="8" hidden="1"/>
    <cellStyle name="Link" xfId="727" builtinId="8" hidden="1"/>
    <cellStyle name="Link" xfId="729" builtinId="8" hidden="1"/>
    <cellStyle name="Link" xfId="731" builtinId="8" hidden="1"/>
    <cellStyle name="Link" xfId="733" builtinId="8" hidden="1"/>
    <cellStyle name="Link" xfId="735" builtinId="8" hidden="1"/>
    <cellStyle name="Link" xfId="737" builtinId="8" hidden="1"/>
    <cellStyle name="Link" xfId="739" builtinId="8" hidden="1"/>
    <cellStyle name="Link" xfId="741" builtinId="8" hidden="1"/>
    <cellStyle name="Link" xfId="743" builtinId="8" hidden="1"/>
    <cellStyle name="Link" xfId="745" builtinId="8" hidden="1"/>
    <cellStyle name="Link" xfId="747" builtinId="8" hidden="1"/>
    <cellStyle name="Link" xfId="749" builtinId="8" hidden="1"/>
    <cellStyle name="Link" xfId="751" builtinId="8" hidden="1"/>
    <cellStyle name="Link" xfId="753" builtinId="8" hidden="1"/>
    <cellStyle name="Link" xfId="755" builtinId="8" hidden="1"/>
    <cellStyle name="Link" xfId="757" builtinId="8" hidden="1"/>
    <cellStyle name="Link" xfId="759" builtinId="8" hidden="1"/>
    <cellStyle name="Link" xfId="761" builtinId="8" hidden="1"/>
    <cellStyle name="Link" xfId="763" builtinId="8" hidden="1"/>
    <cellStyle name="Link" xfId="765" builtinId="8" hidden="1"/>
    <cellStyle name="Link" xfId="767" builtinId="8" hidden="1"/>
    <cellStyle name="Link" xfId="769" builtinId="8" hidden="1"/>
    <cellStyle name="Link" xfId="771" builtinId="8" hidden="1"/>
    <cellStyle name="Link" xfId="773" builtinId="8" hidden="1"/>
    <cellStyle name="Link" xfId="775" builtinId="8" hidden="1"/>
    <cellStyle name="Link" xfId="777" builtinId="8" hidden="1"/>
    <cellStyle name="Link" xfId="779" builtinId="8" hidden="1"/>
    <cellStyle name="Link" xfId="781" builtinId="8" hidden="1"/>
    <cellStyle name="Link" xfId="783" builtinId="8" hidden="1"/>
    <cellStyle name="Link" xfId="785" builtinId="8" hidden="1"/>
    <cellStyle name="Link" xfId="787" builtinId="8" hidden="1"/>
    <cellStyle name="Link" xfId="789" builtinId="8" hidden="1"/>
    <cellStyle name="Link" xfId="791" builtinId="8" hidden="1"/>
    <cellStyle name="Link" xfId="793" builtinId="8" hidden="1"/>
    <cellStyle name="Link" xfId="795" builtinId="8" hidden="1"/>
    <cellStyle name="Link" xfId="797" builtinId="8" hidden="1"/>
    <cellStyle name="Link" xfId="799" builtinId="8" hidden="1"/>
    <cellStyle name="Link" xfId="801" builtinId="8" hidden="1"/>
    <cellStyle name="Link" xfId="803" builtinId="8" hidden="1"/>
    <cellStyle name="Link" xfId="805" builtinId="8" hidden="1"/>
    <cellStyle name="Link" xfId="807" builtinId="8" hidden="1"/>
    <cellStyle name="Link" xfId="809" builtinId="8" hidden="1"/>
    <cellStyle name="Link" xfId="811" builtinId="8" hidden="1"/>
    <cellStyle name="Link" xfId="813" builtinId="8" hidden="1"/>
    <cellStyle name="Link" xfId="815" builtinId="8" hidden="1"/>
    <cellStyle name="Link" xfId="817" builtinId="8" hidden="1"/>
    <cellStyle name="Link" xfId="819" builtinId="8" hidden="1"/>
    <cellStyle name="Link" xfId="821" builtinId="8" hidden="1"/>
    <cellStyle name="Link" xfId="823" builtinId="8" hidden="1"/>
    <cellStyle name="Link" xfId="825" builtinId="8" hidden="1"/>
    <cellStyle name="Link" xfId="827" builtinId="8" hidden="1"/>
    <cellStyle name="Link" xfId="829" builtinId="8" hidden="1"/>
    <cellStyle name="Link" xfId="831" builtinId="8" hidden="1"/>
    <cellStyle name="Link" xfId="833" builtinId="8" hidden="1"/>
    <cellStyle name="Link" xfId="835" builtinId="8" hidden="1"/>
    <cellStyle name="Link" xfId="837" builtinId="8" hidden="1"/>
    <cellStyle name="Link" xfId="839" builtinId="8" hidden="1"/>
    <cellStyle name="Link" xfId="841" builtinId="8" hidden="1"/>
    <cellStyle name="Link" xfId="843" builtinId="8" hidden="1"/>
    <cellStyle name="Link" xfId="845" builtinId="8" hidden="1"/>
    <cellStyle name="Link" xfId="847" builtinId="8" hidden="1"/>
    <cellStyle name="Link" xfId="849" builtinId="8" hidden="1"/>
    <cellStyle name="Link" xfId="851" builtinId="8" hidden="1"/>
    <cellStyle name="Link" xfId="853" builtinId="8" hidden="1"/>
    <cellStyle name="Link" xfId="855" builtinId="8" hidden="1"/>
    <cellStyle name="Link" xfId="857" builtinId="8" hidden="1"/>
    <cellStyle name="Link" xfId="859" builtinId="8" hidden="1"/>
    <cellStyle name="Link" xfId="861" builtinId="8" hidden="1"/>
    <cellStyle name="Link" xfId="863" builtinId="8" hidden="1"/>
    <cellStyle name="Link" xfId="865" builtinId="8" hidden="1"/>
    <cellStyle name="Link" xfId="867" builtinId="8" hidden="1"/>
    <cellStyle name="Link" xfId="869" builtinId="8" hidden="1"/>
    <cellStyle name="Link" xfId="871" builtinId="8" hidden="1"/>
    <cellStyle name="Link" xfId="873" builtinId="8" hidden="1"/>
    <cellStyle name="Link" xfId="875" builtinId="8" hidden="1"/>
    <cellStyle name="Link" xfId="877" builtinId="8" hidden="1"/>
    <cellStyle name="Link" xfId="879" builtinId="8" hidden="1"/>
    <cellStyle name="Link" xfId="881" builtinId="8" hidden="1"/>
    <cellStyle name="Link" xfId="883" builtinId="8" hidden="1"/>
    <cellStyle name="Link" xfId="885" builtinId="8" hidden="1"/>
    <cellStyle name="Link" xfId="887" builtinId="8" hidden="1"/>
    <cellStyle name="Link" xfId="889" builtinId="8" hidden="1"/>
    <cellStyle name="Link" xfId="891" builtinId="8" hidden="1"/>
    <cellStyle name="Link" xfId="893" builtinId="8" hidden="1"/>
    <cellStyle name="Link" xfId="895" builtinId="8" hidden="1"/>
    <cellStyle name="Link" xfId="897" builtinId="8" hidden="1"/>
    <cellStyle name="Link" xfId="899" builtinId="8" hidden="1"/>
    <cellStyle name="Link" xfId="901" builtinId="8" hidden="1"/>
    <cellStyle name="Link" xfId="903" builtinId="8" hidden="1"/>
    <cellStyle name="Link" xfId="905" builtinId="8" hidden="1"/>
    <cellStyle name="Link" xfId="907" builtinId="8" hidden="1"/>
    <cellStyle name="Link" xfId="909" builtinId="8" hidden="1"/>
    <cellStyle name="Link" xfId="911" builtinId="8" hidden="1"/>
    <cellStyle name="Link" xfId="913" builtinId="8" hidden="1"/>
    <cellStyle name="Link" xfId="915" builtinId="8" hidden="1"/>
    <cellStyle name="Link" xfId="917" builtinId="8" hidden="1"/>
    <cellStyle name="Link" xfId="919" builtinId="8" hidden="1"/>
    <cellStyle name="Link" xfId="921" builtinId="8" hidden="1"/>
    <cellStyle name="Link" xfId="923" builtinId="8" hidden="1"/>
    <cellStyle name="Link" xfId="925" builtinId="8" hidden="1"/>
    <cellStyle name="Link" xfId="927" builtinId="8" hidden="1"/>
    <cellStyle name="Link" xfId="929" builtinId="8" hidden="1"/>
    <cellStyle name="Link" xfId="931" builtinId="8" hidden="1"/>
    <cellStyle name="Link" xfId="933" builtinId="8" hidden="1"/>
    <cellStyle name="Link" xfId="935" builtinId="8" hidden="1"/>
    <cellStyle name="Link" xfId="937" builtinId="8" hidden="1"/>
    <cellStyle name="Link" xfId="939" builtinId="8" hidden="1"/>
    <cellStyle name="Link" xfId="941" builtinId="8" hidden="1"/>
    <cellStyle name="Link" xfId="943" builtinId="8" hidden="1"/>
    <cellStyle name="Link" xfId="945" builtinId="8" hidden="1"/>
    <cellStyle name="Link" xfId="947" builtinId="8" hidden="1"/>
    <cellStyle name="Link" xfId="949" builtinId="8" hidden="1"/>
    <cellStyle name="Link" xfId="951" builtinId="8" hidden="1"/>
    <cellStyle name="Link" xfId="953" builtinId="8" hidden="1"/>
    <cellStyle name="Link" xfId="955" builtinId="8" hidden="1"/>
    <cellStyle name="Link" xfId="957" builtinId="8" hidden="1"/>
    <cellStyle name="Link" xfId="959" builtinId="8" hidden="1"/>
    <cellStyle name="Link" xfId="961" builtinId="8" hidden="1"/>
    <cellStyle name="Link" xfId="963" builtinId="8" hidden="1"/>
    <cellStyle name="Link" xfId="965" builtinId="8" hidden="1"/>
    <cellStyle name="Link" xfId="967" builtinId="8" hidden="1"/>
    <cellStyle name="Link" xfId="969" builtinId="8" hidden="1"/>
    <cellStyle name="Link" xfId="971" builtinId="8" hidden="1"/>
    <cellStyle name="Link" xfId="973" builtinId="8" hidden="1"/>
    <cellStyle name="Link" xfId="975" builtinId="8" hidden="1"/>
    <cellStyle name="Link" xfId="977" builtinId="8" hidden="1"/>
    <cellStyle name="Link" xfId="979" builtinId="8" hidden="1"/>
    <cellStyle name="Link" xfId="981" builtinId="8" hidden="1"/>
    <cellStyle name="Link" xfId="983" builtinId="8" hidden="1"/>
    <cellStyle name="Link" xfId="985" builtinId="8" hidden="1"/>
    <cellStyle name="Link" xfId="987" builtinId="8" hidden="1"/>
    <cellStyle name="Link" xfId="989" builtinId="8" hidden="1"/>
    <cellStyle name="Link" xfId="991" builtinId="8" hidden="1"/>
    <cellStyle name="Link" xfId="993" builtinId="8" hidden="1"/>
    <cellStyle name="Link" xfId="995" builtinId="8" hidden="1"/>
    <cellStyle name="Link" xfId="997" builtinId="8" hidden="1"/>
    <cellStyle name="Link" xfId="999" builtinId="8" hidden="1"/>
    <cellStyle name="Link" xfId="1001" builtinId="8" hidden="1"/>
    <cellStyle name="Link" xfId="1003" builtinId="8" hidden="1"/>
    <cellStyle name="Link" xfId="1005" builtinId="8" hidden="1"/>
    <cellStyle name="Link" xfId="1007" builtinId="8" hidden="1"/>
    <cellStyle name="Link" xfId="1009" builtinId="8" hidden="1"/>
    <cellStyle name="Link" xfId="1011" builtinId="8" hidden="1"/>
    <cellStyle name="Link" xfId="1013" builtinId="8" hidden="1"/>
    <cellStyle name="Link" xfId="1015" builtinId="8" hidden="1"/>
    <cellStyle name="Link" xfId="1017" builtinId="8" hidden="1"/>
    <cellStyle name="Link" xfId="1019" builtinId="8" hidden="1"/>
    <cellStyle name="Link" xfId="1021" builtinId="8" hidden="1"/>
    <cellStyle name="Link" xfId="1023" builtinId="8" hidden="1"/>
    <cellStyle name="Link" xfId="1025" builtinId="8" hidden="1"/>
    <cellStyle name="Link" xfId="1027" builtinId="8" hidden="1"/>
    <cellStyle name="Link" xfId="1029" builtinId="8" hidden="1"/>
    <cellStyle name="Link" xfId="1031" builtinId="8" hidden="1"/>
    <cellStyle name="Link" xfId="1033" builtinId="8" hidden="1"/>
    <cellStyle name="Link" xfId="1035" builtinId="8" hidden="1"/>
    <cellStyle name="Link" xfId="1037" builtinId="8" hidden="1"/>
    <cellStyle name="Link" xfId="1039" builtinId="8" hidden="1"/>
    <cellStyle name="Link" xfId="1041" builtinId="8" hidden="1"/>
    <cellStyle name="Link" xfId="1043" builtinId="8" hidden="1"/>
    <cellStyle name="Link" xfId="1045" builtinId="8" hidden="1"/>
    <cellStyle name="Link" xfId="1047" builtinId="8" hidden="1"/>
    <cellStyle name="Link" xfId="1049" builtinId="8" hidden="1"/>
    <cellStyle name="Link" xfId="1051" builtinId="8" hidden="1"/>
    <cellStyle name="Link" xfId="1053" builtinId="8" hidden="1"/>
    <cellStyle name="Link" xfId="1055" builtinId="8" hidden="1"/>
    <cellStyle name="Link" xfId="1057" builtinId="8" hidden="1"/>
    <cellStyle name="Link" xfId="1059" builtinId="8" hidden="1"/>
    <cellStyle name="Link" xfId="1061" builtinId="8" hidden="1"/>
    <cellStyle name="Link" xfId="1063" builtinId="8" hidden="1"/>
    <cellStyle name="Link" xfId="1065" builtinId="8" hidden="1"/>
    <cellStyle name="Link" xfId="1067" builtinId="8" hidden="1"/>
    <cellStyle name="Link" xfId="1069" builtinId="8" hidden="1"/>
    <cellStyle name="Link" xfId="1071" builtinId="8" hidden="1"/>
    <cellStyle name="Link" xfId="1073" builtinId="8" hidden="1"/>
    <cellStyle name="Link" xfId="1075" builtinId="8" hidden="1"/>
    <cellStyle name="Link" xfId="1077" builtinId="8" hidden="1"/>
    <cellStyle name="Link" xfId="1079" builtinId="8" hidden="1"/>
    <cellStyle name="Link" xfId="1081" builtinId="8" hidden="1"/>
    <cellStyle name="Link" xfId="1083" builtinId="8" hidden="1"/>
    <cellStyle name="Link" xfId="1085" builtinId="8" hidden="1"/>
    <cellStyle name="Link" xfId="1087" builtinId="8" hidden="1"/>
    <cellStyle name="Link" xfId="1089" builtinId="8" hidden="1"/>
    <cellStyle name="Link" xfId="1091" builtinId="8" hidden="1"/>
    <cellStyle name="Link" xfId="1093" builtinId="8" hidden="1"/>
    <cellStyle name="Link" xfId="1095" builtinId="8" hidden="1"/>
    <cellStyle name="Link" xfId="1097" builtinId="8" hidden="1"/>
    <cellStyle name="Link" xfId="1099" builtinId="8" hidden="1"/>
    <cellStyle name="Link" xfId="1101" builtinId="8" hidden="1"/>
    <cellStyle name="Link" xfId="1103" builtinId="8" hidden="1"/>
    <cellStyle name="Link" xfId="1105" builtinId="8" hidden="1"/>
    <cellStyle name="Link" xfId="1107" builtinId="8" hidden="1"/>
    <cellStyle name="Link" xfId="1109" builtinId="8" hidden="1"/>
    <cellStyle name="Link" xfId="1111" builtinId="8" hidden="1"/>
    <cellStyle name="Link" xfId="1113" builtinId="8" hidden="1"/>
    <cellStyle name="Link" xfId="1115" builtinId="8" hidden="1"/>
    <cellStyle name="Link" xfId="1117" builtinId="8" hidden="1"/>
    <cellStyle name="Link" xfId="1119" builtinId="8" hidden="1"/>
    <cellStyle name="Link" xfId="1121" builtinId="8" hidden="1"/>
    <cellStyle name="Link" xfId="1123" builtinId="8" hidden="1"/>
    <cellStyle name="Link" xfId="1125" builtinId="8" hidden="1"/>
    <cellStyle name="Link" xfId="1127" builtinId="8" hidden="1"/>
    <cellStyle name="Link" xfId="1129" builtinId="8" hidden="1"/>
    <cellStyle name="Link" xfId="1131" builtinId="8" hidden="1"/>
    <cellStyle name="Link" xfId="1133" builtinId="8" hidden="1"/>
    <cellStyle name="Link" xfId="1135" builtinId="8" hidden="1"/>
    <cellStyle name="Link" xfId="1137" builtinId="8" hidden="1"/>
    <cellStyle name="Link" xfId="1139" builtinId="8" hidden="1"/>
    <cellStyle name="Link" xfId="1141" builtinId="8" hidden="1"/>
    <cellStyle name="Link" xfId="1143" builtinId="8" hidden="1"/>
    <cellStyle name="Link" xfId="1145" builtinId="8" hidden="1"/>
    <cellStyle name="Link" xfId="1147" builtinId="8" hidden="1"/>
    <cellStyle name="Link" xfId="1149" builtinId="8" hidden="1"/>
    <cellStyle name="Link" xfId="1151" builtinId="8" hidden="1"/>
    <cellStyle name="Link" xfId="1153" builtinId="8" hidden="1"/>
    <cellStyle name="Link" xfId="1155" builtinId="8" hidden="1"/>
    <cellStyle name="Link" xfId="1157" builtinId="8" hidden="1"/>
    <cellStyle name="Link" xfId="1159" builtinId="8" hidden="1"/>
    <cellStyle name="Link" xfId="1161" builtinId="8" hidden="1"/>
    <cellStyle name="Link" xfId="1163" builtinId="8" hidden="1"/>
    <cellStyle name="Link" xfId="1165" builtinId="8" hidden="1"/>
    <cellStyle name="Link" xfId="1167" builtinId="8" hidden="1"/>
    <cellStyle name="Link" xfId="1169" builtinId="8" hidden="1"/>
    <cellStyle name="Link" xfId="1171" builtinId="8" hidden="1"/>
    <cellStyle name="Link" xfId="1173" builtinId="8" hidden="1"/>
    <cellStyle name="Link" xfId="1175" builtinId="8" hidden="1"/>
    <cellStyle name="Link" xfId="1177" builtinId="8" hidden="1"/>
    <cellStyle name="Link" xfId="1179" builtinId="8" hidden="1"/>
    <cellStyle name="Link" xfId="1181" builtinId="8" hidden="1"/>
    <cellStyle name="Link" xfId="1183" builtinId="8" hidden="1"/>
    <cellStyle name="Link" xfId="1185" builtinId="8" hidden="1"/>
    <cellStyle name="Link" xfId="1187" builtinId="8" hidden="1"/>
    <cellStyle name="Link" xfId="1189" builtinId="8" hidden="1"/>
    <cellStyle name="Link" xfId="1191" builtinId="8" hidden="1"/>
    <cellStyle name="Link" xfId="1193" builtinId="8" hidden="1"/>
    <cellStyle name="Link" xfId="1195" builtinId="8" hidden="1"/>
    <cellStyle name="Link" xfId="1197" builtinId="8" hidden="1"/>
    <cellStyle name="Link" xfId="1199" builtinId="8" hidden="1"/>
    <cellStyle name="Link" xfId="1201" builtinId="8" hidden="1"/>
    <cellStyle name="Link" xfId="1203" builtinId="8" hidden="1"/>
    <cellStyle name="Link" xfId="1205" builtinId="8" hidden="1"/>
    <cellStyle name="Link" xfId="1207" builtinId="8" hidden="1"/>
    <cellStyle name="Link" xfId="1209" builtinId="8" hidden="1"/>
    <cellStyle name="Link" xfId="1211" builtinId="8" hidden="1"/>
    <cellStyle name="Link" xfId="1213" builtinId="8" hidden="1"/>
    <cellStyle name="Link" xfId="1215" builtinId="8" hidden="1"/>
    <cellStyle name="Link" xfId="1217" builtinId="8" hidden="1"/>
    <cellStyle name="Link" xfId="1219" builtinId="8" hidden="1"/>
    <cellStyle name="Link" xfId="1221" builtinId="8" hidden="1"/>
    <cellStyle name="Link" xfId="1223" builtinId="8" hidden="1"/>
    <cellStyle name="Link" xfId="1225" builtinId="8" hidden="1"/>
    <cellStyle name="Link" xfId="1227" builtinId="8" hidden="1"/>
    <cellStyle name="Link" xfId="1229" builtinId="8" hidden="1"/>
    <cellStyle name="Link" xfId="1231" builtinId="8" hidden="1"/>
    <cellStyle name="Link" xfId="1233" builtinId="8" hidden="1"/>
    <cellStyle name="Link" xfId="1235" builtinId="8" hidden="1"/>
    <cellStyle name="Link" xfId="1237" builtinId="8" hidden="1"/>
    <cellStyle name="Link" xfId="1239" builtinId="8" hidden="1"/>
    <cellStyle name="Link" xfId="1241" builtinId="8" hidden="1"/>
    <cellStyle name="Link" xfId="1243" builtinId="8" hidden="1"/>
    <cellStyle name="Link" xfId="1245" builtinId="8" hidden="1"/>
    <cellStyle name="Link" xfId="1247" builtinId="8" hidden="1"/>
    <cellStyle name="Link" xfId="1249" builtinId="8" hidden="1"/>
    <cellStyle name="Link" xfId="1251" builtinId="8" hidden="1"/>
    <cellStyle name="Link" xfId="1253" builtinId="8" hidden="1"/>
    <cellStyle name="Link" xfId="1255" builtinId="8" hidden="1"/>
    <cellStyle name="Link" xfId="1257" builtinId="8" hidden="1"/>
    <cellStyle name="Link" xfId="1259" builtinId="8" hidden="1"/>
    <cellStyle name="Link" xfId="1261" builtinId="8" hidden="1"/>
    <cellStyle name="Link" xfId="1263" builtinId="8" hidden="1"/>
    <cellStyle name="Link" xfId="1265" builtinId="8" hidden="1"/>
    <cellStyle name="Link" xfId="1267" builtinId="8" hidden="1"/>
    <cellStyle name="Link" xfId="1269" builtinId="8" hidden="1"/>
    <cellStyle name="Link" xfId="1271" builtinId="8" hidden="1"/>
    <cellStyle name="Link" xfId="1273" builtinId="8" hidden="1"/>
    <cellStyle name="Link" xfId="1275" builtinId="8" hidden="1"/>
    <cellStyle name="Link" xfId="1277" builtinId="8" hidden="1"/>
    <cellStyle name="Link" xfId="1279" builtinId="8" hidden="1"/>
    <cellStyle name="Link" xfId="1281" builtinId="8" hidden="1"/>
    <cellStyle name="Link" xfId="1283" builtinId="8" hidden="1"/>
    <cellStyle name="Link" xfId="1285" builtinId="8" hidden="1"/>
    <cellStyle name="Link" xfId="1287" builtinId="8" hidden="1"/>
    <cellStyle name="Link" xfId="1289" builtinId="8" hidden="1"/>
    <cellStyle name="Link" xfId="1291" builtinId="8" hidden="1"/>
    <cellStyle name="Link" xfId="1293" builtinId="8" hidden="1"/>
    <cellStyle name="Link" xfId="1295" builtinId="8" hidden="1"/>
    <cellStyle name="Link" xfId="1297" builtinId="8" hidden="1"/>
    <cellStyle name="Link" xfId="1299" builtinId="8" hidden="1"/>
    <cellStyle name="Link" xfId="1301" builtinId="8" hidden="1"/>
    <cellStyle name="Link" xfId="1303" builtinId="8" hidden="1"/>
    <cellStyle name="Link" xfId="1305" builtinId="8" hidden="1"/>
    <cellStyle name="Link" xfId="1307" builtinId="8" hidden="1"/>
    <cellStyle name="Link" xfId="1309" builtinId="8" hidden="1"/>
    <cellStyle name="Link" xfId="1311" builtinId="8" hidden="1"/>
    <cellStyle name="Link" xfId="1313" builtinId="8" hidden="1"/>
    <cellStyle name="Link" xfId="1315" builtinId="8" hidden="1"/>
    <cellStyle name="Link" xfId="1317" builtinId="8" hidden="1"/>
    <cellStyle name="Link" xfId="1319" builtinId="8" hidden="1"/>
    <cellStyle name="Link" xfId="1321" builtinId="8" hidden="1"/>
    <cellStyle name="Link" xfId="1323" builtinId="8" hidden="1"/>
    <cellStyle name="Link" xfId="1325" builtinId="8" hidden="1"/>
    <cellStyle name="Link" xfId="1327" builtinId="8" hidden="1"/>
    <cellStyle name="Link" xfId="1329" builtinId="8" hidden="1"/>
    <cellStyle name="Link" xfId="1331" builtinId="8" hidden="1"/>
    <cellStyle name="Link" xfId="1333" builtinId="8" hidden="1"/>
    <cellStyle name="Link" xfId="1335" builtinId="8" hidden="1"/>
    <cellStyle name="Link" xfId="1337" builtinId="8" hidden="1"/>
    <cellStyle name="Link" xfId="1339" builtinId="8" hidden="1"/>
    <cellStyle name="Link" xfId="1341" builtinId="8" hidden="1"/>
    <cellStyle name="Link" xfId="1343" builtinId="8" hidden="1"/>
    <cellStyle name="Link" xfId="1345" builtinId="8" hidden="1"/>
    <cellStyle name="Link" xfId="1347" builtinId="8" hidden="1"/>
    <cellStyle name="Link" xfId="1349" builtinId="8" hidden="1"/>
    <cellStyle name="Link" xfId="1351" builtinId="8" hidden="1"/>
    <cellStyle name="Link" xfId="1353" builtinId="8" hidden="1"/>
    <cellStyle name="Link" xfId="1355" builtinId="8" hidden="1"/>
    <cellStyle name="Link" xfId="1357" builtinId="8" hidden="1"/>
    <cellStyle name="Link" xfId="1359" builtinId="8" hidden="1"/>
    <cellStyle name="Link" xfId="1361" builtinId="8" hidden="1"/>
    <cellStyle name="Link" xfId="1363" builtinId="8" hidden="1"/>
    <cellStyle name="Link" xfId="1365" builtinId="8" hidden="1"/>
    <cellStyle name="Link" xfId="1367" builtinId="8" hidden="1"/>
    <cellStyle name="Link" xfId="1369" builtinId="8" hidden="1"/>
    <cellStyle name="Link" xfId="1371" builtinId="8" hidden="1"/>
    <cellStyle name="Link" xfId="1373" builtinId="8" hidden="1"/>
    <cellStyle name="Link" xfId="1375" builtinId="8" hidden="1"/>
    <cellStyle name="Link" xfId="1377" builtinId="8" hidden="1"/>
    <cellStyle name="Link" xfId="1379" builtinId="8" hidden="1"/>
    <cellStyle name="Link" xfId="1381" builtinId="8" hidden="1"/>
    <cellStyle name="Link" xfId="1383" builtinId="8" hidden="1"/>
    <cellStyle name="Link" xfId="1385" builtinId="8" hidden="1"/>
    <cellStyle name="Link" xfId="1387" builtinId="8" hidden="1"/>
    <cellStyle name="Link" xfId="1389" builtinId="8" hidden="1"/>
    <cellStyle name="Link" xfId="1391" builtinId="8" hidden="1"/>
    <cellStyle name="Link" xfId="1393" builtinId="8" hidden="1"/>
    <cellStyle name="Link" xfId="1395" builtinId="8" hidden="1"/>
    <cellStyle name="Link" xfId="1397" builtinId="8" hidden="1"/>
    <cellStyle name="Link" xfId="1399" builtinId="8" hidden="1"/>
    <cellStyle name="Link" xfId="1401" builtinId="8" hidden="1"/>
    <cellStyle name="Link" xfId="1403" builtinId="8" hidden="1"/>
    <cellStyle name="Link" xfId="1405" builtinId="8" hidden="1"/>
    <cellStyle name="Link" xfId="1407" builtinId="8" hidden="1"/>
    <cellStyle name="Link" xfId="1409" builtinId="8" hidden="1"/>
    <cellStyle name="Link" xfId="1411" builtinId="8" hidden="1"/>
    <cellStyle name="Link" xfId="1413" builtinId="8" hidden="1"/>
    <cellStyle name="Link" xfId="1415" builtinId="8" hidden="1"/>
    <cellStyle name="Link" xfId="1417" builtinId="8" hidden="1"/>
    <cellStyle name="Link" xfId="1419" builtinId="8" hidden="1"/>
    <cellStyle name="Link" xfId="1421" builtinId="8" hidden="1"/>
    <cellStyle name="Link" xfId="1423" builtinId="8" hidden="1"/>
    <cellStyle name="Link" xfId="1425" builtinId="8" hidden="1"/>
    <cellStyle name="Link" xfId="1427" builtinId="8" hidden="1"/>
    <cellStyle name="Link" xfId="1429" builtinId="8" hidden="1"/>
    <cellStyle name="Link" xfId="1431" builtinId="8" hidden="1"/>
    <cellStyle name="Link" xfId="1433" builtinId="8" hidden="1"/>
    <cellStyle name="Link" xfId="1435" builtinId="8" hidden="1"/>
    <cellStyle name="Link" xfId="1437" builtinId="8" hidden="1"/>
    <cellStyle name="Link" xfId="1439" builtinId="8" hidden="1"/>
    <cellStyle name="Link" xfId="1441" builtinId="8" hidden="1"/>
    <cellStyle name="Link" xfId="1443" builtinId="8" hidden="1"/>
    <cellStyle name="Link" xfId="1445" builtinId="8" hidden="1"/>
    <cellStyle name="Link" xfId="1447" builtinId="8" hidden="1"/>
    <cellStyle name="Link" xfId="1449" builtinId="8" hidden="1"/>
    <cellStyle name="Link" xfId="1451" builtinId="8" hidden="1"/>
    <cellStyle name="Link" xfId="1453" builtinId="8" hidden="1"/>
    <cellStyle name="Link" xfId="1455" builtinId="8" hidden="1"/>
    <cellStyle name="Link" xfId="1457" builtinId="8" hidden="1"/>
    <cellStyle name="Link" xfId="1459" builtinId="8" hidden="1"/>
    <cellStyle name="Link" xfId="1461" builtinId="8" hidden="1"/>
    <cellStyle name="Link" xfId="1463" builtinId="8" hidden="1"/>
    <cellStyle name="Link" xfId="1465" builtinId="8" hidden="1"/>
    <cellStyle name="Link" xfId="1467" builtinId="8" hidden="1"/>
    <cellStyle name="Link" xfId="1469" builtinId="8" hidden="1"/>
    <cellStyle name="Link" xfId="1471" builtinId="8" hidden="1"/>
    <cellStyle name="Link" xfId="1473" builtinId="8" hidden="1"/>
    <cellStyle name="Link" xfId="1475" builtinId="8" hidden="1"/>
    <cellStyle name="Link" xfId="1477" builtinId="8" hidden="1"/>
    <cellStyle name="Link" xfId="1479" builtinId="8" hidden="1"/>
    <cellStyle name="Link" xfId="1481" builtinId="8" hidden="1"/>
    <cellStyle name="Link" xfId="1483" builtinId="8" hidden="1"/>
    <cellStyle name="Link" xfId="1485" builtinId="8" hidden="1"/>
    <cellStyle name="Link" xfId="1487" builtinId="8" hidden="1"/>
    <cellStyle name="Link" xfId="1489" builtinId="8" hidden="1"/>
    <cellStyle name="Link" xfId="1491" builtinId="8" hidden="1"/>
    <cellStyle name="Link" xfId="1493" builtinId="8" hidden="1"/>
    <cellStyle name="Link" xfId="1495" builtinId="8" hidden="1"/>
    <cellStyle name="Link" xfId="1497" builtinId="8" hidden="1"/>
    <cellStyle name="Link" xfId="1499" builtinId="8" hidden="1"/>
    <cellStyle name="Link" xfId="1501" builtinId="8" hidden="1"/>
    <cellStyle name="Link" xfId="1503" builtinId="8" hidden="1"/>
    <cellStyle name="Link" xfId="1505" builtinId="8" hidden="1"/>
    <cellStyle name="Link" xfId="1507" builtinId="8" hidden="1"/>
    <cellStyle name="Link" xfId="1509" builtinId="8" hidden="1"/>
    <cellStyle name="Link" xfId="1511" builtinId="8" hidden="1"/>
    <cellStyle name="Link" xfId="1513" builtinId="8" hidden="1"/>
    <cellStyle name="Link" xfId="1515" builtinId="8" hidden="1"/>
    <cellStyle name="Link" xfId="1517" builtinId="8" hidden="1"/>
    <cellStyle name="Link" xfId="1519" builtinId="8" hidden="1"/>
    <cellStyle name="Link" xfId="1521" builtinId="8" hidden="1"/>
    <cellStyle name="Link" xfId="1523" builtinId="8" hidden="1"/>
    <cellStyle name="Link" xfId="1525" builtinId="8" hidden="1"/>
    <cellStyle name="Link" xfId="1527" builtinId="8" hidden="1"/>
    <cellStyle name="Link" xfId="1529" builtinId="8" hidden="1"/>
    <cellStyle name="Link" xfId="1531" builtinId="8" hidden="1"/>
    <cellStyle name="Link" xfId="1533" builtinId="8" hidden="1"/>
    <cellStyle name="Link" xfId="1535" builtinId="8" hidden="1"/>
    <cellStyle name="Link" xfId="1537" builtinId="8" hidden="1"/>
    <cellStyle name="Link" xfId="1539" builtinId="8" hidden="1"/>
    <cellStyle name="Link" xfId="1541" builtinId="8" hidden="1"/>
    <cellStyle name="Link" xfId="1543" builtinId="8" hidden="1"/>
    <cellStyle name="Link" xfId="1545" builtinId="8" hidden="1"/>
    <cellStyle name="Link" xfId="1547" builtinId="8" hidden="1"/>
    <cellStyle name="Link" xfId="1549" builtinId="8" hidden="1"/>
    <cellStyle name="Link" xfId="1551" builtinId="8" hidden="1"/>
    <cellStyle name="Link" xfId="1553" builtinId="8" hidden="1"/>
    <cellStyle name="Link" xfId="1555" builtinId="8" hidden="1"/>
    <cellStyle name="Link" xfId="1557" builtinId="8" hidden="1"/>
    <cellStyle name="Link" xfId="1559" builtinId="8" hidden="1"/>
    <cellStyle name="Link" xfId="1561" builtinId="8" hidden="1"/>
    <cellStyle name="Link" xfId="1563" builtinId="8" hidden="1"/>
    <cellStyle name="Link" xfId="1565" builtinId="8" hidden="1"/>
    <cellStyle name="Link" xfId="1567" builtinId="8" hidden="1"/>
    <cellStyle name="Link" xfId="1569" builtinId="8" hidden="1"/>
    <cellStyle name="Link" xfId="1571" builtinId="8" hidden="1"/>
    <cellStyle name="Link" xfId="1573" builtinId="8" hidden="1"/>
    <cellStyle name="Link" xfId="1575" builtinId="8" hidden="1"/>
    <cellStyle name="Link" xfId="1577" builtinId="8" hidden="1"/>
    <cellStyle name="Link" xfId="1579" builtinId="8" hidden="1"/>
    <cellStyle name="Link" xfId="1581" builtinId="8" hidden="1"/>
    <cellStyle name="Link" xfId="1583" builtinId="8" hidden="1"/>
    <cellStyle name="Link" xfId="1585" builtinId="8" hidden="1"/>
    <cellStyle name="Link" xfId="1587" builtinId="8" hidden="1"/>
    <cellStyle name="Link" xfId="1589" builtinId="8" hidden="1"/>
    <cellStyle name="Link" xfId="1591" builtinId="8" hidden="1"/>
    <cellStyle name="Link" xfId="1593" builtinId="8" hidden="1"/>
    <cellStyle name="Link" xfId="1595" builtinId="8" hidden="1"/>
    <cellStyle name="Link" xfId="1597" builtinId="8" hidden="1"/>
    <cellStyle name="Link" xfId="1599" builtinId="8" hidden="1"/>
    <cellStyle name="Link" xfId="1601" builtinId="8" hidden="1"/>
    <cellStyle name="Link" xfId="1603" builtinId="8" hidden="1"/>
    <cellStyle name="Link" xfId="1605" builtinId="8" hidden="1"/>
    <cellStyle name="Link" xfId="1607" builtinId="8" hidden="1"/>
    <cellStyle name="Link" xfId="1609" builtinId="8" hidden="1"/>
    <cellStyle name="Link" xfId="1611" builtinId="8" hidden="1"/>
    <cellStyle name="Link" xfId="1613" builtinId="8" hidden="1"/>
    <cellStyle name="Link" xfId="1615" builtinId="8" hidden="1"/>
    <cellStyle name="Link" xfId="1617" builtinId="8" hidden="1"/>
    <cellStyle name="Link" xfId="1619" builtinId="8" hidden="1"/>
    <cellStyle name="Link" xfId="1621" builtinId="8" hidden="1"/>
    <cellStyle name="Link" xfId="1623" builtinId="8" hidden="1"/>
    <cellStyle name="Link" xfId="1625" builtinId="8" hidden="1"/>
    <cellStyle name="Link" xfId="1627" builtinId="8" hidden="1"/>
    <cellStyle name="Link" xfId="1629" builtinId="8" hidden="1"/>
    <cellStyle name="Link" xfId="1631" builtinId="8" hidden="1"/>
    <cellStyle name="Link" xfId="1633" builtinId="8" hidden="1"/>
    <cellStyle name="Link" xfId="1635" builtinId="8" hidden="1"/>
    <cellStyle name="Link" xfId="1637" builtinId="8" hidden="1"/>
    <cellStyle name="Link" xfId="1639" builtinId="8" hidden="1"/>
    <cellStyle name="Link" xfId="1641" builtinId="8" hidden="1"/>
    <cellStyle name="Link" xfId="1643" builtinId="8" hidden="1"/>
    <cellStyle name="Link" xfId="1645" builtinId="8" hidden="1"/>
    <cellStyle name="Link" xfId="1647" builtinId="8" hidden="1"/>
    <cellStyle name="Link" xfId="1649" builtinId="8" hidden="1"/>
    <cellStyle name="Link" xfId="1651" builtinId="8" hidden="1"/>
    <cellStyle name="Link" xfId="1653" builtinId="8" hidden="1"/>
    <cellStyle name="Link" xfId="1655" builtinId="8" hidden="1"/>
    <cellStyle name="Link" xfId="1657" builtinId="8" hidden="1"/>
    <cellStyle name="Link" xfId="1659" builtinId="8" hidden="1"/>
    <cellStyle name="Link" xfId="1661" builtinId="8" hidden="1"/>
    <cellStyle name="Link" xfId="1663" builtinId="8" hidden="1"/>
    <cellStyle name="Link" xfId="1665" builtinId="8" hidden="1"/>
    <cellStyle name="Link" xfId="1667" builtinId="8" hidden="1"/>
    <cellStyle name="Link" xfId="1669" builtinId="8" hidden="1"/>
    <cellStyle name="Link" xfId="1671" builtinId="8" hidden="1"/>
    <cellStyle name="Link" xfId="1673" builtinId="8" hidden="1"/>
    <cellStyle name="Link" xfId="1675" builtinId="8" hidden="1"/>
    <cellStyle name="Link" xfId="1677" builtinId="8" hidden="1"/>
    <cellStyle name="Link" xfId="1679" builtinId="8" hidden="1"/>
    <cellStyle name="Link" xfId="1681" builtinId="8" hidden="1"/>
    <cellStyle name="Link" xfId="1683" builtinId="8" hidden="1"/>
    <cellStyle name="Link" xfId="1685" builtinId="8" hidden="1"/>
    <cellStyle name="Link" xfId="1687" builtinId="8" hidden="1"/>
    <cellStyle name="Link" xfId="1689" builtinId="8" hidden="1"/>
    <cellStyle name="Link" xfId="1691" builtinId="8" hidden="1"/>
    <cellStyle name="Link" xfId="1693" builtinId="8" hidden="1"/>
    <cellStyle name="Link" xfId="1695" builtinId="8" hidden="1"/>
    <cellStyle name="Link" xfId="1697" builtinId="8" hidden="1"/>
    <cellStyle name="Link" xfId="1699" builtinId="8" hidden="1"/>
    <cellStyle name="Link" xfId="1701" builtinId="8" hidden="1"/>
    <cellStyle name="Link" xfId="1703" builtinId="8" hidden="1"/>
    <cellStyle name="Link" xfId="1705" builtinId="8" hidden="1"/>
    <cellStyle name="Link" xfId="1707" builtinId="8" hidden="1"/>
    <cellStyle name="Link" xfId="1709" builtinId="8" hidden="1"/>
    <cellStyle name="Link" xfId="1711" builtinId="8" hidden="1"/>
    <cellStyle name="Link" xfId="1713" builtinId="8" hidden="1"/>
    <cellStyle name="Link" xfId="1715" builtinId="8" hidden="1"/>
    <cellStyle name="Link" xfId="1717" builtinId="8" hidden="1"/>
    <cellStyle name="Link" xfId="1719" builtinId="8" hidden="1"/>
    <cellStyle name="Link" xfId="1721" builtinId="8" hidden="1"/>
    <cellStyle name="Link" xfId="1723" builtinId="8" hidden="1"/>
    <cellStyle name="Link" xfId="1725" builtinId="8" hidden="1"/>
    <cellStyle name="Link" xfId="1727" builtinId="8" hidden="1"/>
    <cellStyle name="Link" xfId="1729" builtinId="8" hidden="1"/>
    <cellStyle name="Link" xfId="1731" builtinId="8" hidden="1"/>
    <cellStyle name="Link" xfId="1733" builtinId="8" hidden="1"/>
    <cellStyle name="Link" xfId="1735" builtinId="8" hidden="1"/>
    <cellStyle name="Link" xfId="1737" builtinId="8" hidden="1"/>
    <cellStyle name="Link" xfId="1739" builtinId="8" hidden="1"/>
    <cellStyle name="Link" xfId="1741" builtinId="8" hidden="1"/>
    <cellStyle name="Link" xfId="1743" builtinId="8" hidden="1"/>
    <cellStyle name="Link" xfId="1745" builtinId="8" hidden="1"/>
    <cellStyle name="Link" xfId="1747" builtinId="8" hidden="1"/>
    <cellStyle name="Link" xfId="1749" builtinId="8" hidden="1"/>
    <cellStyle name="Link" xfId="1751" builtinId="8" hidden="1"/>
    <cellStyle name="Link" xfId="1753" builtinId="8" hidden="1"/>
    <cellStyle name="Link" xfId="1755" builtinId="8" hidden="1"/>
    <cellStyle name="Link" xfId="1757" builtinId="8" hidden="1"/>
    <cellStyle name="Link" xfId="1759" builtinId="8" hidden="1"/>
    <cellStyle name="Link" xfId="1761" builtinId="8" hidden="1"/>
    <cellStyle name="Link" xfId="1763" builtinId="8" hidden="1"/>
    <cellStyle name="Link" xfId="1765" builtinId="8" hidden="1"/>
    <cellStyle name="Link" xfId="1767" builtinId="8" hidden="1"/>
    <cellStyle name="Link" xfId="1769" builtinId="8" hidden="1"/>
    <cellStyle name="Link" xfId="1771" builtinId="8" hidden="1"/>
    <cellStyle name="Link" xfId="1773" builtinId="8" hidden="1"/>
    <cellStyle name="Link" xfId="1775" builtinId="8" hidden="1"/>
    <cellStyle name="Link" xfId="1777" builtinId="8" hidden="1"/>
    <cellStyle name="Link" xfId="1779" builtinId="8" hidden="1"/>
    <cellStyle name="Link" xfId="1781" builtinId="8" hidden="1"/>
    <cellStyle name="Link" xfId="1783" builtinId="8" hidden="1"/>
    <cellStyle name="Link" xfId="1785" builtinId="8" hidden="1"/>
    <cellStyle name="Link" xfId="1787" builtinId="8" hidden="1"/>
    <cellStyle name="Link" xfId="1789" builtinId="8" hidden="1"/>
    <cellStyle name="Link" xfId="1791" builtinId="8" hidden="1"/>
    <cellStyle name="Link" xfId="1793" builtinId="8" hidden="1"/>
    <cellStyle name="Link" xfId="1795" builtinId="8" hidden="1"/>
    <cellStyle name="Link" xfId="1797" builtinId="8" hidden="1"/>
    <cellStyle name="Link" xfId="1799" builtinId="8" hidden="1"/>
    <cellStyle name="Link" xfId="1801" builtinId="8" hidden="1"/>
    <cellStyle name="Link" xfId="1803" builtinId="8" hidden="1"/>
    <cellStyle name="Link" xfId="1805" builtinId="8" hidden="1"/>
    <cellStyle name="Link" xfId="1807" builtinId="8" hidden="1"/>
    <cellStyle name="Link" xfId="1809" builtinId="8" hidden="1"/>
    <cellStyle name="Link" xfId="1811" builtinId="8" hidden="1"/>
    <cellStyle name="Link" xfId="1813" builtinId="8" hidden="1"/>
    <cellStyle name="Link" xfId="1815" builtinId="8" hidden="1"/>
    <cellStyle name="Link" xfId="1817" builtinId="8" hidden="1"/>
    <cellStyle name="Link" xfId="1819" builtinId="8" hidden="1"/>
    <cellStyle name="Link" xfId="1821" builtinId="8" hidden="1"/>
    <cellStyle name="Link" xfId="1823" builtinId="8" hidden="1"/>
    <cellStyle name="Link" xfId="1825" builtinId="8" hidden="1"/>
    <cellStyle name="Link" xfId="1827" builtinId="8" hidden="1"/>
    <cellStyle name="Link" xfId="1829" builtinId="8" hidden="1"/>
    <cellStyle name="Link" xfId="1831" builtinId="8" hidden="1"/>
    <cellStyle name="Link" xfId="1833" builtinId="8" hidden="1"/>
    <cellStyle name="Link" xfId="1835" builtinId="8" hidden="1"/>
    <cellStyle name="Link" xfId="1837" builtinId="8" hidden="1"/>
    <cellStyle name="Link" xfId="1839" builtinId="8" hidden="1"/>
    <cellStyle name="Link" xfId="1841" builtinId="8" hidden="1"/>
    <cellStyle name="Link" xfId="1843" builtinId="8" hidden="1"/>
    <cellStyle name="Link" xfId="1845" builtinId="8" hidden="1"/>
    <cellStyle name="Link" xfId="1847" builtinId="8" hidden="1"/>
    <cellStyle name="Link" xfId="1849" builtinId="8" hidden="1"/>
    <cellStyle name="Link" xfId="1851" builtinId="8" hidden="1"/>
    <cellStyle name="Link" xfId="1853" builtinId="8" hidden="1"/>
    <cellStyle name="Link" xfId="1855" builtinId="8" hidden="1"/>
    <cellStyle name="Link" xfId="1857" builtinId="8" hidden="1"/>
    <cellStyle name="Link" xfId="1859" builtinId="8" hidden="1"/>
    <cellStyle name="Link" xfId="1861" builtinId="8" hidden="1"/>
    <cellStyle name="Link" xfId="1863" builtinId="8" hidden="1"/>
    <cellStyle name="Link" xfId="1865" builtinId="8" hidden="1"/>
    <cellStyle name="Link" xfId="1867" builtinId="8" hidden="1"/>
    <cellStyle name="Link" xfId="1869" builtinId="8" hidden="1"/>
    <cellStyle name="Link" xfId="1871" builtinId="8" hidden="1"/>
    <cellStyle name="Link" xfId="1873" builtinId="8" hidden="1"/>
    <cellStyle name="Link" xfId="1875" builtinId="8" hidden="1"/>
    <cellStyle name="Link" xfId="1877" builtinId="8" hidden="1"/>
    <cellStyle name="Link" xfId="1879" builtinId="8" hidden="1"/>
    <cellStyle name="Link" xfId="1881" builtinId="8" hidden="1"/>
    <cellStyle name="Link" xfId="1884" builtinId="8" hidden="1"/>
    <cellStyle name="Link" xfId="1886" builtinId="8" hidden="1"/>
    <cellStyle name="Link" xfId="1888" builtinId="8" hidden="1"/>
    <cellStyle name="Link" xfId="1890" builtinId="8" hidden="1"/>
    <cellStyle name="Link" xfId="1892" builtinId="8" hidden="1"/>
    <cellStyle name="Link" xfId="1894" builtinId="8" hidden="1"/>
    <cellStyle name="Link" xfId="1896" builtinId="8" hidden="1"/>
    <cellStyle name="Link" xfId="1898" builtinId="8" hidden="1"/>
    <cellStyle name="Notiz" xfId="1883" builtinId="10"/>
    <cellStyle name="Prozent" xfId="155" builtinId="5"/>
    <cellStyle name="Schlecht" xfId="684" builtinId="27"/>
    <cellStyle name="Standard" xfId="0" builtinId="0"/>
  </cellStyles>
  <dxfs count="99">
    <dxf>
      <font>
        <color rgb="FF9C0006"/>
      </font>
      <fill>
        <patternFill patternType="solid">
          <fgColor indexed="64"/>
          <bgColor rgb="FFFFFF00"/>
        </patternFill>
      </fill>
    </dxf>
    <dxf>
      <font>
        <color rgb="FF9C0006"/>
      </font>
      <fill>
        <patternFill patternType="solid">
          <fgColor indexed="64"/>
          <bgColor rgb="FFFFFF00"/>
        </patternFill>
      </fill>
    </dxf>
    <dxf>
      <font>
        <color rgb="FF9C0006"/>
      </font>
      <fill>
        <patternFill patternType="solid">
          <fgColor indexed="64"/>
          <bgColor rgb="FFFFFF00"/>
        </patternFill>
      </fill>
    </dxf>
    <dxf>
      <font>
        <color rgb="FF9C0006"/>
      </font>
      <fill>
        <patternFill patternType="solid">
          <fgColor indexed="64"/>
          <bgColor rgb="FFFFFF00"/>
        </patternFill>
      </fill>
    </dxf>
    <dxf>
      <font>
        <color rgb="FF9C0006"/>
      </font>
      <fill>
        <patternFill patternType="solid">
          <fgColor indexed="64"/>
          <bgColor rgb="FFFFFF00"/>
        </patternFill>
      </fill>
    </dxf>
    <dxf>
      <font>
        <color rgb="FF9C0006"/>
      </font>
      <fill>
        <patternFill patternType="solid">
          <fgColor indexed="64"/>
          <bgColor rgb="FFFFFF00"/>
        </patternFill>
      </fill>
    </dxf>
    <dxf>
      <font>
        <color rgb="FF9C0006"/>
      </font>
      <fill>
        <patternFill patternType="solid">
          <fgColor indexed="64"/>
          <bgColor rgb="FFFFFF00"/>
        </patternFill>
      </fill>
    </dxf>
    <dxf>
      <font>
        <color rgb="FF9C0006"/>
      </font>
    </dxf>
    <dxf>
      <font>
        <color rgb="FF9C0006"/>
      </font>
    </dxf>
    <dxf>
      <font>
        <color theme="0" tint="-0.14999847407452621"/>
      </font>
      <fill>
        <patternFill patternType="solid">
          <fgColor auto="1"/>
          <bgColor theme="0" tint="-0.14999847407452621"/>
        </patternFill>
      </fill>
    </dxf>
    <dxf>
      <font>
        <color theme="0" tint="-0.14999847407452621"/>
      </font>
      <fill>
        <patternFill patternType="solid">
          <fgColor auto="1"/>
          <bgColor theme="0" tint="-0.14999847407452621"/>
        </patternFill>
      </fill>
    </dxf>
    <dxf>
      <font>
        <color rgb="FF9C0006"/>
      </font>
    </dxf>
    <dxf>
      <font>
        <color rgb="FF9C0006"/>
      </font>
    </dxf>
    <dxf>
      <font>
        <color theme="0" tint="-0.14999847407452621"/>
      </font>
      <fill>
        <patternFill patternType="solid">
          <fgColor auto="1"/>
          <bgColor theme="0" tint="-0.14999847407452621"/>
        </patternFill>
      </fill>
    </dxf>
    <dxf>
      <font>
        <color theme="0" tint="-0.14999847407452621"/>
      </font>
      <fill>
        <patternFill patternType="solid">
          <fgColor auto="1"/>
          <bgColor theme="0" tint="-0.14999847407452621"/>
        </patternFill>
      </fill>
    </dxf>
    <dxf>
      <font>
        <color theme="0" tint="-0.14999847407452621"/>
      </font>
      <fill>
        <patternFill patternType="solid">
          <fgColor auto="1"/>
          <bgColor theme="0" tint="-0.14999847407452621"/>
        </patternFill>
      </fill>
    </dxf>
    <dxf>
      <font>
        <color theme="0" tint="-0.14999847407452621"/>
      </font>
      <fill>
        <patternFill patternType="solid">
          <fgColor auto="1"/>
          <bgColor theme="0" tint="-0.14999847407452621"/>
        </patternFill>
      </fill>
    </dxf>
    <dxf>
      <font>
        <color theme="0" tint="-0.14999847407452621"/>
      </font>
      <fill>
        <patternFill patternType="solid">
          <fgColor auto="1"/>
          <bgColor theme="0" tint="-0.14999847407452621"/>
        </patternFill>
      </fill>
    </dxf>
    <dxf>
      <font>
        <color theme="0" tint="-0.14999847407452621"/>
      </font>
      <fill>
        <patternFill patternType="solid">
          <fgColor auto="1"/>
          <bgColor theme="0" tint="-0.14999847407452621"/>
        </patternFill>
      </fill>
    </dxf>
    <dxf>
      <font>
        <color theme="0" tint="-0.14999847407452621"/>
      </font>
      <fill>
        <patternFill patternType="solid">
          <fgColor auto="1"/>
          <bgColor theme="0" tint="-0.14999847407452621"/>
        </patternFill>
      </fill>
    </dxf>
    <dxf>
      <font>
        <color theme="0" tint="-0.14999847407452621"/>
      </font>
      <fill>
        <patternFill patternType="solid">
          <fgColor auto="1"/>
          <bgColor theme="0" tint="-0.14999847407452621"/>
        </patternFill>
      </fill>
    </dxf>
    <dxf>
      <font>
        <color rgb="FF9C0006"/>
      </font>
    </dxf>
    <dxf>
      <font>
        <color rgb="FF9C0006"/>
      </font>
    </dxf>
    <dxf>
      <font>
        <color rgb="FF008000"/>
      </font>
      <fill>
        <patternFill patternType="solid">
          <fgColor indexed="64"/>
          <bgColor theme="6" tint="0.79998168889431442"/>
        </patternFill>
      </fill>
      <border>
        <left style="thin">
          <color theme="6" tint="-0.499984740745262"/>
        </left>
        <right style="thin">
          <color theme="6" tint="-0.499984740745262"/>
        </right>
        <top style="thin">
          <color theme="6" tint="-0.499984740745262"/>
        </top>
        <bottom style="thin">
          <color theme="6" tint="-0.499984740745262"/>
        </bottom>
      </border>
    </dxf>
    <dxf>
      <font>
        <color rgb="FF9C0006"/>
      </font>
      <fill>
        <patternFill patternType="solid">
          <fgColor indexed="64"/>
          <bgColor theme="5" tint="0.79998168889431442"/>
        </patternFill>
      </fill>
      <border>
        <left style="thin">
          <color theme="5" tint="-0.499984740745262"/>
        </left>
        <right style="thin">
          <color theme="5" tint="-0.499984740745262"/>
        </right>
        <top style="thin">
          <color theme="5" tint="-0.499984740745262"/>
        </top>
        <bottom style="thin">
          <color theme="5" tint="-0.499984740745262"/>
        </bottom>
      </border>
    </dxf>
    <dxf>
      <font>
        <color theme="0" tint="-0.14999847407452621"/>
      </font>
      <fill>
        <patternFill patternType="solid">
          <fgColor auto="1"/>
          <bgColor theme="0" tint="-0.14999847407452621"/>
        </patternFill>
      </fill>
    </dxf>
    <dxf>
      <font>
        <color theme="0" tint="-0.14999847407452621"/>
      </font>
      <fill>
        <patternFill patternType="solid">
          <fgColor auto="1"/>
          <bgColor theme="0" tint="-0.14999847407452621"/>
        </patternFill>
      </fill>
    </dxf>
    <dxf>
      <font>
        <color rgb="FF9C0006"/>
      </font>
    </dxf>
    <dxf>
      <font>
        <color rgb="FF9C0006"/>
      </font>
    </dxf>
    <dxf>
      <font>
        <color rgb="FF008000"/>
      </font>
      <fill>
        <patternFill patternType="solid">
          <fgColor indexed="64"/>
          <bgColor theme="6" tint="0.79998168889431442"/>
        </patternFill>
      </fill>
      <border>
        <left style="thin">
          <color theme="6" tint="-0.499984740745262"/>
        </left>
        <right style="thin">
          <color theme="6" tint="-0.499984740745262"/>
        </right>
        <top style="thin">
          <color theme="6" tint="-0.499984740745262"/>
        </top>
        <bottom style="thin">
          <color theme="6" tint="-0.499984740745262"/>
        </bottom>
      </border>
    </dxf>
    <dxf>
      <font>
        <color rgb="FF9C0006"/>
      </font>
      <fill>
        <patternFill patternType="solid">
          <fgColor indexed="64"/>
          <bgColor theme="5" tint="0.79998168889431442"/>
        </patternFill>
      </fill>
      <border>
        <left style="thin">
          <color theme="5" tint="-0.499984740745262"/>
        </left>
        <right style="thin">
          <color theme="5" tint="-0.499984740745262"/>
        </right>
        <top style="thin">
          <color theme="5" tint="-0.499984740745262"/>
        </top>
        <bottom style="thin">
          <color theme="5" tint="-0.499984740745262"/>
        </bottom>
      </border>
    </dxf>
    <dxf>
      <font>
        <color theme="0" tint="-0.249977111117893"/>
      </font>
      <fill>
        <patternFill patternType="solid">
          <fgColor indexed="64"/>
          <bgColor theme="0" tint="-0.249977111117893"/>
        </patternFill>
      </fill>
    </dxf>
    <dxf>
      <font>
        <color theme="0" tint="-0.14999847407452621"/>
      </font>
      <fill>
        <patternFill patternType="solid">
          <fgColor auto="1"/>
          <bgColor theme="0" tint="-0.14999847407452621"/>
        </patternFill>
      </fill>
    </dxf>
    <dxf>
      <font>
        <color theme="0" tint="-0.14999847407452621"/>
      </font>
      <fill>
        <patternFill patternType="solid">
          <fgColor auto="1"/>
          <bgColor theme="0" tint="-0.14999847407452621"/>
        </patternFill>
      </fill>
    </dxf>
    <dxf>
      <font>
        <color theme="0" tint="-0.14999847407452621"/>
      </font>
      <fill>
        <patternFill patternType="solid">
          <fgColor auto="1"/>
          <bgColor theme="0" tint="-0.14999847407452621"/>
        </patternFill>
      </fill>
    </dxf>
    <dxf>
      <font>
        <color theme="0" tint="-0.14999847407452621"/>
      </font>
      <fill>
        <patternFill patternType="solid">
          <fgColor auto="1"/>
          <bgColor theme="0" tint="-0.14999847407452621"/>
        </patternFill>
      </fill>
    </dxf>
    <dxf>
      <font>
        <color theme="0" tint="-0.14999847407452621"/>
      </font>
      <fill>
        <patternFill patternType="solid">
          <fgColor auto="1"/>
          <bgColor theme="0" tint="-0.14999847407452621"/>
        </patternFill>
      </fill>
    </dxf>
    <dxf>
      <font>
        <color theme="0" tint="-0.14999847407452621"/>
      </font>
      <fill>
        <patternFill patternType="solid">
          <fgColor auto="1"/>
          <bgColor theme="0" tint="-0.14999847407452621"/>
        </patternFill>
      </fill>
    </dxf>
    <dxf>
      <font>
        <color theme="0" tint="-0.14999847407452621"/>
      </font>
      <fill>
        <patternFill patternType="solid">
          <fgColor auto="1"/>
          <bgColor theme="0" tint="-0.14999847407452621"/>
        </patternFill>
      </fill>
    </dxf>
    <dxf>
      <font>
        <color theme="0" tint="-0.14999847407452621"/>
      </font>
      <fill>
        <patternFill patternType="solid">
          <fgColor indexed="64"/>
          <bgColor theme="0" tint="-0.14999847407452621"/>
        </patternFill>
      </fill>
    </dxf>
    <dxf>
      <font>
        <color theme="0" tint="-0.14999847407452621"/>
      </font>
      <fill>
        <patternFill patternType="solid">
          <fgColor indexed="64"/>
          <bgColor theme="0" tint="-0.14999847407452621"/>
        </patternFill>
      </fill>
    </dxf>
    <dxf>
      <font>
        <color theme="0" tint="-0.14999847407452621"/>
      </font>
      <fill>
        <patternFill patternType="solid">
          <fgColor auto="1"/>
          <bgColor theme="0" tint="-0.14999847407452621"/>
        </patternFill>
      </fill>
    </dxf>
    <dxf>
      <font>
        <color theme="0" tint="-0.14999847407452621"/>
      </font>
      <fill>
        <patternFill patternType="solid">
          <fgColor auto="1"/>
          <bgColor theme="0" tint="-0.14999847407452621"/>
        </patternFill>
      </fill>
    </dxf>
    <dxf>
      <font>
        <color theme="0" tint="-0.14999847407452621"/>
      </font>
      <fill>
        <patternFill patternType="solid">
          <fgColor auto="1"/>
          <bgColor theme="0" tint="-0.14999847407452621"/>
        </patternFill>
      </fill>
    </dxf>
    <dxf>
      <font>
        <color theme="0" tint="-0.14999847407452621"/>
      </font>
      <fill>
        <patternFill patternType="solid">
          <fgColor auto="1"/>
          <bgColor theme="0" tint="-0.14999847407452621"/>
        </patternFill>
      </fill>
    </dxf>
    <dxf>
      <font>
        <color theme="0" tint="-0.14999847407452621"/>
      </font>
      <fill>
        <patternFill patternType="solid">
          <fgColor auto="1"/>
          <bgColor theme="0" tint="-0.14999847407452621"/>
        </patternFill>
      </fill>
    </dxf>
    <dxf>
      <font>
        <color rgb="FF9C0006"/>
      </font>
    </dxf>
    <dxf>
      <font>
        <color rgb="FF9C0006"/>
      </font>
    </dxf>
    <dxf>
      <font>
        <color rgb="FF008000"/>
      </font>
      <fill>
        <patternFill patternType="solid">
          <fgColor indexed="64"/>
          <bgColor theme="6" tint="0.79998168889431442"/>
        </patternFill>
      </fill>
      <border>
        <left style="thin">
          <color theme="6" tint="-0.499984740745262"/>
        </left>
        <right style="thin">
          <color theme="6" tint="-0.499984740745262"/>
        </right>
        <top style="thin">
          <color theme="6" tint="-0.499984740745262"/>
        </top>
        <bottom style="thin">
          <color theme="6" tint="-0.499984740745262"/>
        </bottom>
      </border>
    </dxf>
    <dxf>
      <font>
        <color rgb="FF9C0006"/>
      </font>
      <fill>
        <patternFill patternType="solid">
          <fgColor indexed="64"/>
          <bgColor theme="5" tint="0.79998168889431442"/>
        </patternFill>
      </fill>
      <border>
        <left style="thin">
          <color theme="5" tint="-0.499984740745262"/>
        </left>
        <right style="thin">
          <color theme="5" tint="-0.499984740745262"/>
        </right>
        <top style="thin">
          <color theme="5" tint="-0.499984740745262"/>
        </top>
        <bottom style="thin">
          <color theme="5" tint="-0.499984740745262"/>
        </bottom>
      </border>
    </dxf>
    <dxf>
      <font>
        <color theme="0" tint="-0.14999847407452621"/>
      </font>
      <fill>
        <patternFill patternType="solid">
          <fgColor auto="1"/>
          <bgColor theme="0" tint="-0.14999847407452621"/>
        </patternFill>
      </fill>
    </dxf>
    <dxf>
      <font>
        <color theme="0" tint="-0.14999847407452621"/>
      </font>
      <fill>
        <patternFill patternType="solid">
          <fgColor auto="1"/>
          <bgColor theme="0" tint="-0.14999847407452621"/>
        </patternFill>
      </fill>
    </dxf>
    <dxf>
      <font>
        <color theme="0" tint="-0.14999847407452621"/>
      </font>
      <fill>
        <patternFill patternType="solid">
          <fgColor auto="1"/>
          <bgColor theme="0" tint="-0.14999847407452621"/>
        </patternFill>
      </fill>
    </dxf>
    <dxf>
      <font>
        <color theme="0" tint="-0.14999847407452621"/>
      </font>
      <fill>
        <patternFill patternType="solid">
          <fgColor auto="1"/>
          <bgColor theme="0" tint="-0.14999847407452621"/>
        </patternFill>
      </fill>
    </dxf>
    <dxf>
      <font>
        <color theme="0" tint="-0.14999847407452621"/>
      </font>
      <fill>
        <patternFill patternType="solid">
          <fgColor auto="1"/>
          <bgColor theme="0" tint="-0.14999847407452621"/>
        </patternFill>
      </fill>
    </dxf>
    <dxf>
      <font>
        <color theme="0" tint="-0.14999847407452621"/>
      </font>
      <fill>
        <patternFill patternType="solid">
          <fgColor auto="1"/>
          <bgColor theme="0" tint="-0.14999847407452621"/>
        </patternFill>
      </fill>
    </dxf>
    <dxf>
      <font>
        <color theme="0" tint="-0.14999847407452621"/>
      </font>
      <fill>
        <patternFill patternType="solid">
          <fgColor auto="1"/>
          <bgColor theme="0" tint="-0.14999847407452621"/>
        </patternFill>
      </fill>
    </dxf>
    <dxf>
      <font>
        <color rgb="FF9C0006"/>
      </font>
    </dxf>
    <dxf>
      <font>
        <color rgb="FF9C0006"/>
      </font>
    </dxf>
    <dxf>
      <font>
        <color rgb="FF008000"/>
      </font>
      <fill>
        <patternFill patternType="solid">
          <fgColor indexed="64"/>
          <bgColor theme="6" tint="0.79998168889431442"/>
        </patternFill>
      </fill>
      <border>
        <left style="thin">
          <color theme="6" tint="-0.499984740745262"/>
        </left>
        <right style="thin">
          <color theme="6" tint="-0.499984740745262"/>
        </right>
        <top style="thin">
          <color theme="6" tint="-0.499984740745262"/>
        </top>
        <bottom style="thin">
          <color theme="6" tint="-0.499984740745262"/>
        </bottom>
      </border>
    </dxf>
    <dxf>
      <font>
        <color rgb="FF9C0006"/>
      </font>
      <fill>
        <patternFill patternType="solid">
          <fgColor indexed="64"/>
          <bgColor theme="5" tint="0.79998168889431442"/>
        </patternFill>
      </fill>
      <border>
        <left style="thin">
          <color theme="5" tint="-0.499984740745262"/>
        </left>
        <right style="thin">
          <color theme="5" tint="-0.499984740745262"/>
        </right>
        <top style="thin">
          <color theme="5" tint="-0.499984740745262"/>
        </top>
        <bottom style="thin">
          <color theme="5" tint="-0.499984740745262"/>
        </bottom>
      </border>
    </dxf>
    <dxf>
      <font>
        <color theme="0" tint="-0.14999847407452621"/>
      </font>
      <fill>
        <patternFill patternType="solid">
          <fgColor auto="1"/>
          <bgColor theme="0" tint="-0.14999847407452621"/>
        </patternFill>
      </fill>
    </dxf>
    <dxf>
      <font>
        <color theme="0" tint="-0.14999847407452621"/>
      </font>
      <fill>
        <patternFill patternType="solid">
          <fgColor auto="1"/>
          <bgColor theme="0" tint="-0.14999847407452621"/>
        </patternFill>
      </fill>
    </dxf>
    <dxf>
      <font>
        <color theme="0" tint="-0.14999847407452621"/>
      </font>
      <fill>
        <patternFill patternType="solid">
          <fgColor auto="1"/>
          <bgColor theme="0" tint="-0.14999847407452621"/>
        </patternFill>
      </fill>
    </dxf>
    <dxf>
      <font>
        <color theme="0" tint="-0.14999847407452621"/>
      </font>
      <fill>
        <patternFill patternType="solid">
          <fgColor auto="1"/>
          <bgColor theme="0" tint="-0.14999847407452621"/>
        </patternFill>
      </fill>
    </dxf>
    <dxf>
      <font>
        <color rgb="FF9C0006"/>
      </font>
    </dxf>
    <dxf>
      <font>
        <color rgb="FF9C0006"/>
      </font>
    </dxf>
    <dxf>
      <font>
        <color rgb="FF008000"/>
      </font>
      <fill>
        <patternFill patternType="solid">
          <fgColor indexed="64"/>
          <bgColor theme="6" tint="0.79998168889431442"/>
        </patternFill>
      </fill>
      <border>
        <left style="thin">
          <color theme="6" tint="-0.499984740745262"/>
        </left>
        <right style="thin">
          <color theme="6" tint="-0.499984740745262"/>
        </right>
        <top style="thin">
          <color theme="6" tint="-0.499984740745262"/>
        </top>
        <bottom style="thin">
          <color theme="6" tint="-0.499984740745262"/>
        </bottom>
      </border>
    </dxf>
    <dxf>
      <font>
        <color rgb="FF9C0006"/>
      </font>
      <fill>
        <patternFill patternType="solid">
          <fgColor indexed="64"/>
          <bgColor theme="5" tint="0.79998168889431442"/>
        </patternFill>
      </fill>
      <border>
        <left style="thin">
          <color theme="5" tint="-0.499984740745262"/>
        </left>
        <right style="thin">
          <color theme="5" tint="-0.499984740745262"/>
        </right>
        <top style="thin">
          <color theme="5" tint="-0.499984740745262"/>
        </top>
        <bottom style="thin">
          <color theme="5" tint="-0.499984740745262"/>
        </bottom>
      </border>
    </dxf>
    <dxf>
      <font>
        <color theme="0" tint="-0.14999847407452621"/>
      </font>
      <fill>
        <patternFill patternType="solid">
          <fgColor indexed="64"/>
          <bgColor theme="0" tint="-0.14999847407452621"/>
        </patternFill>
      </fill>
    </dxf>
    <dxf>
      <font>
        <color theme="0" tint="-0.14999847407452621"/>
      </font>
      <fill>
        <patternFill patternType="solid">
          <fgColor indexed="64"/>
          <bgColor theme="0" tint="-0.14999847407452621"/>
        </patternFill>
      </fill>
    </dxf>
    <dxf>
      <font>
        <color theme="0" tint="-0.14999847407452621"/>
      </font>
      <fill>
        <patternFill patternType="solid">
          <fgColor auto="1"/>
          <bgColor theme="0" tint="-0.14999847407452621"/>
        </patternFill>
      </fill>
    </dxf>
    <dxf>
      <font>
        <color rgb="FF9C0006"/>
      </font>
    </dxf>
    <dxf>
      <font>
        <color rgb="FF9C0006"/>
      </font>
    </dxf>
    <dxf>
      <font>
        <color rgb="FF008000"/>
      </font>
      <fill>
        <patternFill patternType="solid">
          <fgColor indexed="64"/>
          <bgColor theme="6" tint="0.79998168889431442"/>
        </patternFill>
      </fill>
      <border>
        <left style="thin">
          <color theme="6" tint="-0.499984740745262"/>
        </left>
        <right style="thin">
          <color theme="6" tint="-0.499984740745262"/>
        </right>
        <top style="thin">
          <color theme="6" tint="-0.499984740745262"/>
        </top>
        <bottom style="thin">
          <color theme="6" tint="-0.499984740745262"/>
        </bottom>
      </border>
    </dxf>
    <dxf>
      <font>
        <color rgb="FF9C0006"/>
      </font>
      <fill>
        <patternFill patternType="solid">
          <fgColor indexed="64"/>
          <bgColor theme="5" tint="0.79998168889431442"/>
        </patternFill>
      </fill>
      <border>
        <left style="thin">
          <color theme="5" tint="-0.499984740745262"/>
        </left>
        <right style="thin">
          <color theme="5" tint="-0.499984740745262"/>
        </right>
        <top style="thin">
          <color theme="5" tint="-0.499984740745262"/>
        </top>
        <bottom style="thin">
          <color theme="5" tint="-0.499984740745262"/>
        </bottom>
      </border>
    </dxf>
    <dxf>
      <font>
        <color auto="1"/>
      </font>
      <fill>
        <patternFill patternType="solid">
          <fgColor indexed="64"/>
          <bgColor theme="0" tint="-0.14999847407452621"/>
        </patternFill>
      </fill>
    </dxf>
    <dxf>
      <font>
        <color theme="0" tint="-0.14999847407452621"/>
      </font>
      <fill>
        <patternFill patternType="solid">
          <fgColor auto="1"/>
          <bgColor theme="0" tint="-0.14999847407452621"/>
        </patternFill>
      </fill>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color rgb="FF9C0006"/>
      </font>
    </dxf>
    <dxf>
      <font>
        <color rgb="FF9C0006"/>
      </font>
    </dxf>
    <dxf>
      <font>
        <color rgb="FF008000"/>
      </font>
      <fill>
        <patternFill patternType="solid">
          <fgColor indexed="64"/>
          <bgColor theme="6" tint="0.79998168889431442"/>
        </patternFill>
      </fill>
      <border>
        <left style="thin">
          <color theme="6" tint="-0.499984740745262"/>
        </left>
        <right style="thin">
          <color theme="6" tint="-0.499984740745262"/>
        </right>
        <top style="thin">
          <color theme="6" tint="-0.499984740745262"/>
        </top>
        <bottom style="thin">
          <color theme="6" tint="-0.499984740745262"/>
        </bottom>
      </border>
    </dxf>
    <dxf>
      <font>
        <color rgb="FF9C0006"/>
      </font>
      <fill>
        <patternFill patternType="solid">
          <fgColor indexed="64"/>
          <bgColor theme="5" tint="0.79998168889431442"/>
        </patternFill>
      </fill>
      <border>
        <left style="thin">
          <color theme="5" tint="-0.499984740745262"/>
        </left>
        <right style="thin">
          <color theme="5" tint="-0.499984740745262"/>
        </right>
        <top style="thin">
          <color theme="5" tint="-0.499984740745262"/>
        </top>
        <bottom style="thin">
          <color theme="5" tint="-0.499984740745262"/>
        </bottom>
      </border>
    </dxf>
    <dxf>
      <font>
        <color rgb="FF9C0006"/>
      </font>
    </dxf>
    <dxf>
      <font>
        <color rgb="FF9C0006"/>
      </font>
    </dxf>
    <dxf>
      <font>
        <color rgb="FF008000"/>
      </font>
      <fill>
        <patternFill patternType="solid">
          <fgColor indexed="64"/>
          <bgColor theme="6" tint="0.79998168889431442"/>
        </patternFill>
      </fill>
      <border>
        <left style="thin">
          <color theme="6" tint="-0.499984740745262"/>
        </left>
        <right style="thin">
          <color theme="6" tint="-0.499984740745262"/>
        </right>
        <top style="thin">
          <color theme="6" tint="-0.499984740745262"/>
        </top>
        <bottom style="thin">
          <color theme="6" tint="-0.499984740745262"/>
        </bottom>
      </border>
    </dxf>
    <dxf>
      <font>
        <color rgb="FF9C0006"/>
      </font>
      <fill>
        <patternFill patternType="solid">
          <fgColor indexed="64"/>
          <bgColor theme="5" tint="0.79998168889431442"/>
        </patternFill>
      </fill>
      <border>
        <left style="thin">
          <color theme="5" tint="-0.499984740745262"/>
        </left>
        <right style="thin">
          <color theme="5" tint="-0.499984740745262"/>
        </right>
        <top style="thin">
          <color theme="5" tint="-0.499984740745262"/>
        </top>
        <bottom style="thin">
          <color theme="5" tint="-0.499984740745262"/>
        </bottom>
      </border>
    </dxf>
    <dxf>
      <font>
        <color rgb="FF9C0006"/>
      </font>
    </dxf>
    <dxf>
      <font>
        <color rgb="FF9C0006"/>
      </font>
    </dxf>
    <dxf>
      <font>
        <color rgb="FF008000"/>
      </font>
      <fill>
        <patternFill patternType="solid">
          <fgColor indexed="64"/>
          <bgColor theme="6" tint="0.79998168889431442"/>
        </patternFill>
      </fill>
      <border>
        <left style="thin">
          <color theme="6" tint="-0.499984740745262"/>
        </left>
        <right style="thin">
          <color theme="6" tint="-0.499984740745262"/>
        </right>
        <top style="thin">
          <color theme="6" tint="-0.499984740745262"/>
        </top>
        <bottom style="thin">
          <color theme="6" tint="-0.499984740745262"/>
        </bottom>
      </border>
    </dxf>
    <dxf>
      <font>
        <color rgb="FF9C0006"/>
      </font>
      <fill>
        <patternFill patternType="solid">
          <fgColor indexed="64"/>
          <bgColor theme="5" tint="0.79998168889431442"/>
        </patternFill>
      </fill>
      <border>
        <left style="thin">
          <color theme="5" tint="-0.499984740745262"/>
        </left>
        <right style="thin">
          <color theme="5" tint="-0.499984740745262"/>
        </right>
        <top style="thin">
          <color theme="5" tint="-0.499984740745262"/>
        </top>
        <bottom style="thin">
          <color theme="5" tint="-0.499984740745262"/>
        </bottom>
      </border>
    </dxf>
    <dxf>
      <font>
        <color rgb="FF008000"/>
      </font>
      <fill>
        <patternFill patternType="solid">
          <fgColor indexed="64"/>
          <bgColor theme="6" tint="0.79998168889431442"/>
        </patternFill>
      </fill>
      <border>
        <left style="thin">
          <color theme="6" tint="-0.499984740745262"/>
        </left>
        <right style="thin">
          <color theme="6" tint="-0.499984740745262"/>
        </right>
        <top style="thin">
          <color theme="6" tint="-0.499984740745262"/>
        </top>
        <bottom style="thin">
          <color theme="6" tint="-0.499984740745262"/>
        </bottom>
      </border>
    </dxf>
    <dxf>
      <font>
        <color rgb="FF9C0006"/>
      </font>
      <fill>
        <patternFill patternType="solid">
          <fgColor indexed="64"/>
          <bgColor theme="5" tint="0.79998168889431442"/>
        </patternFill>
      </fill>
      <border>
        <left style="thin">
          <color theme="5" tint="-0.499984740745262"/>
        </left>
        <right style="thin">
          <color theme="5" tint="-0.499984740745262"/>
        </right>
        <top style="thin">
          <color theme="5" tint="-0.499984740745262"/>
        </top>
        <bottom style="thin">
          <color theme="5" tint="-0.499984740745262"/>
        </bottom>
      </border>
    </dxf>
    <dxf>
      <font>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5</xdr:row>
          <xdr:rowOff>0</xdr:rowOff>
        </xdr:from>
        <xdr:to>
          <xdr:col>5</xdr:col>
          <xdr:colOff>9525</xdr:colOff>
          <xdr:row>7</xdr:row>
          <xdr:rowOff>0</xdr:rowOff>
        </xdr:to>
        <xdr:sp macro="" textlink="">
          <xdr:nvSpPr>
            <xdr:cNvPr id="1031" name="Button 7" hidden="1">
              <a:extLst>
                <a:ext uri="{63B3BB69-23CF-44E3-9099-C40C66FF867C}">
                  <a14:compatExt spid="_x0000_s1031"/>
                </a:ext>
                <a:ext uri="{FF2B5EF4-FFF2-40B4-BE49-F238E27FC236}">
                  <a16:creationId xmlns="" xmlns:a16="http://schemas.microsoft.com/office/drawing/2014/main" id="{00000000-0008-0000-0100-000007040000}"/>
                </a:ext>
              </a:extLst>
            </xdr:cNvPr>
            <xdr:cNvSpPr/>
          </xdr:nvSpPr>
          <xdr:spPr bwMode="auto">
            <a:xfrm>
              <a:off x="0" y="0"/>
              <a:ext cx="0" cy="0"/>
            </a:xfrm>
            <a:prstGeom prst="rect">
              <a:avLst/>
            </a:prstGeom>
            <a:noFill/>
            <a:ln w="9525">
              <a:miter lim="800000"/>
              <a:headEnd/>
              <a:tailEnd/>
            </a:ln>
          </xdr:spPr>
          <xdr:txBody>
            <a:bodyPr vertOverflow="clip" wrap="square" lIns="54864" tIns="41148" rIns="54864" bIns="41148" anchor="ctr" upright="1"/>
            <a:lstStyle/>
            <a:p>
              <a:pPr algn="ctr" rtl="0">
                <a:defRPr sz="1000"/>
              </a:pPr>
              <a:r>
                <a:rPr lang="de-CH" sz="1200" b="0" i="0" u="none" strike="noStrike" baseline="0">
                  <a:solidFill>
                    <a:srgbClr val="000000"/>
                  </a:solidFill>
                  <a:latin typeface="Lucida Grande"/>
                </a:rPr>
                <a:t>Start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5</xdr:row>
          <xdr:rowOff>0</xdr:rowOff>
        </xdr:from>
        <xdr:to>
          <xdr:col>3</xdr:col>
          <xdr:colOff>1819275</xdr:colOff>
          <xdr:row>7</xdr:row>
          <xdr:rowOff>0</xdr:rowOff>
        </xdr:to>
        <xdr:sp macro="" textlink="">
          <xdr:nvSpPr>
            <xdr:cNvPr id="1035" name="Button 11" hidden="1">
              <a:extLst>
                <a:ext uri="{63B3BB69-23CF-44E3-9099-C40C66FF867C}">
                  <a14:compatExt spid="_x0000_s1035"/>
                </a:ext>
                <a:ext uri="{FF2B5EF4-FFF2-40B4-BE49-F238E27FC236}">
                  <a16:creationId xmlns="" xmlns:a16="http://schemas.microsoft.com/office/drawing/2014/main" id="{00000000-0008-0000-0100-00000B040000}"/>
                </a:ext>
              </a:extLst>
            </xdr:cNvPr>
            <xdr:cNvSpPr/>
          </xdr:nvSpPr>
          <xdr:spPr bwMode="auto">
            <a:xfrm>
              <a:off x="0" y="0"/>
              <a:ext cx="0" cy="0"/>
            </a:xfrm>
            <a:prstGeom prst="rect">
              <a:avLst/>
            </a:prstGeom>
            <a:noFill/>
            <a:ln w="9525">
              <a:miter lim="800000"/>
              <a:headEnd/>
              <a:tailEnd/>
            </a:ln>
          </xdr:spPr>
          <xdr:txBody>
            <a:bodyPr vertOverflow="clip" wrap="square" lIns="54864" tIns="41148" rIns="54864" bIns="41148" anchor="ctr" upright="1"/>
            <a:lstStyle/>
            <a:p>
              <a:pPr algn="ctr" rtl="0">
                <a:defRPr sz="1000"/>
              </a:pPr>
              <a:r>
                <a:rPr lang="de-CH" sz="1200" b="0" i="0" u="none" strike="noStrike" baseline="0">
                  <a:solidFill>
                    <a:srgbClr val="000000"/>
                  </a:solidFill>
                  <a:latin typeface="Lucida Grande"/>
                </a:rPr>
                <a:t>Print Checklist</a:t>
              </a:r>
            </a:p>
          </xdr:txBody>
        </xdr:sp>
        <xdr:clientData fPrintsWithSheet="0"/>
      </xdr:twoCellAnchor>
    </mc:Choice>
    <mc:Fallback/>
  </mc:AlternateContent>
  <xdr:twoCellAnchor editAs="oneCell">
    <xdr:from>
      <xdr:col>1</xdr:col>
      <xdr:colOff>40640</xdr:colOff>
      <xdr:row>0</xdr:row>
      <xdr:rowOff>121920</xdr:rowOff>
    </xdr:from>
    <xdr:to>
      <xdr:col>2</xdr:col>
      <xdr:colOff>812800</xdr:colOff>
      <xdr:row>9</xdr:row>
      <xdr:rowOff>78424</xdr:rowOff>
    </xdr:to>
    <xdr:pic>
      <xdr:nvPicPr>
        <xdr:cNvPr id="2" name="Picture 1" descr="ESPABoth.jpg">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1920" y="121920"/>
          <a:ext cx="2651760" cy="170402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50800</xdr:colOff>
      <xdr:row>46</xdr:row>
      <xdr:rowOff>12700</xdr:rowOff>
    </xdr:from>
    <xdr:to>
      <xdr:col>7</xdr:col>
      <xdr:colOff>3657600</xdr:colOff>
      <xdr:row>62</xdr:row>
      <xdr:rowOff>152400</xdr:rowOff>
    </xdr:to>
    <xdr:sp macro="" textlink="" fLocksText="0">
      <xdr:nvSpPr>
        <xdr:cNvPr id="2" name="TextBox 1">
          <a:extLst>
            <a:ext uri="{FF2B5EF4-FFF2-40B4-BE49-F238E27FC236}">
              <a16:creationId xmlns="" xmlns:a16="http://schemas.microsoft.com/office/drawing/2014/main" id="{00000000-0008-0000-0B00-000002000000}"/>
            </a:ext>
          </a:extLst>
        </xdr:cNvPr>
        <xdr:cNvSpPr txBox="1"/>
      </xdr:nvSpPr>
      <xdr:spPr>
        <a:xfrm>
          <a:off x="50800" y="13614400"/>
          <a:ext cx="13398500" cy="29845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38100</xdr:colOff>
      <xdr:row>23</xdr:row>
      <xdr:rowOff>165100</xdr:rowOff>
    </xdr:from>
    <xdr:to>
      <xdr:col>7</xdr:col>
      <xdr:colOff>3644900</xdr:colOff>
      <xdr:row>39</xdr:row>
      <xdr:rowOff>139700</xdr:rowOff>
    </xdr:to>
    <xdr:sp macro="" textlink="" fLocksText="0">
      <xdr:nvSpPr>
        <xdr:cNvPr id="2" name="TextBox 1">
          <a:extLst>
            <a:ext uri="{FF2B5EF4-FFF2-40B4-BE49-F238E27FC236}">
              <a16:creationId xmlns="" xmlns:a16="http://schemas.microsoft.com/office/drawing/2014/main" id="{00000000-0008-0000-0C00-000002000000}"/>
            </a:ext>
          </a:extLst>
        </xdr:cNvPr>
        <xdr:cNvSpPr txBox="1"/>
      </xdr:nvSpPr>
      <xdr:spPr>
        <a:xfrm>
          <a:off x="38100" y="7429500"/>
          <a:ext cx="13398500" cy="28194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38100</xdr:colOff>
      <xdr:row>39</xdr:row>
      <xdr:rowOff>165100</xdr:rowOff>
    </xdr:from>
    <xdr:to>
      <xdr:col>7</xdr:col>
      <xdr:colOff>3670300</xdr:colOff>
      <xdr:row>55</xdr:row>
      <xdr:rowOff>127000</xdr:rowOff>
    </xdr:to>
    <xdr:sp macro="" textlink="" fLocksText="0">
      <xdr:nvSpPr>
        <xdr:cNvPr id="2" name="TextBox 1">
          <a:extLst>
            <a:ext uri="{FF2B5EF4-FFF2-40B4-BE49-F238E27FC236}">
              <a16:creationId xmlns="" xmlns:a16="http://schemas.microsoft.com/office/drawing/2014/main" id="{00000000-0008-0000-0D00-000002000000}"/>
            </a:ext>
          </a:extLst>
        </xdr:cNvPr>
        <xdr:cNvSpPr txBox="1"/>
      </xdr:nvSpPr>
      <xdr:spPr>
        <a:xfrm>
          <a:off x="38100" y="11315700"/>
          <a:ext cx="13423900" cy="28067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n-US" sz="1100"/>
        </a:p>
        <a:p>
          <a:endParaRPr 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63500</xdr:colOff>
      <xdr:row>29</xdr:row>
      <xdr:rowOff>25400</xdr:rowOff>
    </xdr:from>
    <xdr:to>
      <xdr:col>7</xdr:col>
      <xdr:colOff>3657600</xdr:colOff>
      <xdr:row>46</xdr:row>
      <xdr:rowOff>165100</xdr:rowOff>
    </xdr:to>
    <xdr:sp macro="" textlink="" fLocksText="0">
      <xdr:nvSpPr>
        <xdr:cNvPr id="2" name="TextBox 1">
          <a:extLst>
            <a:ext uri="{FF2B5EF4-FFF2-40B4-BE49-F238E27FC236}">
              <a16:creationId xmlns="" xmlns:a16="http://schemas.microsoft.com/office/drawing/2014/main" id="{00000000-0008-0000-0E00-000002000000}"/>
            </a:ext>
          </a:extLst>
        </xdr:cNvPr>
        <xdr:cNvSpPr txBox="1"/>
      </xdr:nvSpPr>
      <xdr:spPr>
        <a:xfrm>
          <a:off x="63500" y="9093200"/>
          <a:ext cx="13385800" cy="31623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88900</xdr:colOff>
      <xdr:row>20</xdr:row>
      <xdr:rowOff>12700</xdr:rowOff>
    </xdr:from>
    <xdr:to>
      <xdr:col>4</xdr:col>
      <xdr:colOff>4622800</xdr:colOff>
      <xdr:row>36</xdr:row>
      <xdr:rowOff>139700</xdr:rowOff>
    </xdr:to>
    <xdr:sp macro="" textlink="" fLocksText="0">
      <xdr:nvSpPr>
        <xdr:cNvPr id="2" name="TextBox 1">
          <a:extLst>
            <a:ext uri="{FF2B5EF4-FFF2-40B4-BE49-F238E27FC236}">
              <a16:creationId xmlns="" xmlns:a16="http://schemas.microsoft.com/office/drawing/2014/main" id="{00000000-0008-0000-0300-000002000000}"/>
            </a:ext>
          </a:extLst>
        </xdr:cNvPr>
        <xdr:cNvSpPr txBox="1"/>
      </xdr:nvSpPr>
      <xdr:spPr>
        <a:xfrm>
          <a:off x="88900" y="6591300"/>
          <a:ext cx="13296900" cy="29718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88900</xdr:colOff>
      <xdr:row>30</xdr:row>
      <xdr:rowOff>0</xdr:rowOff>
    </xdr:from>
    <xdr:to>
      <xdr:col>7</xdr:col>
      <xdr:colOff>3632200</xdr:colOff>
      <xdr:row>46</xdr:row>
      <xdr:rowOff>127000</xdr:rowOff>
    </xdr:to>
    <xdr:sp macro="" textlink="" fLocksText="0">
      <xdr:nvSpPr>
        <xdr:cNvPr id="2" name="TextBox 1">
          <a:extLst>
            <a:ext uri="{FF2B5EF4-FFF2-40B4-BE49-F238E27FC236}">
              <a16:creationId xmlns="" xmlns:a16="http://schemas.microsoft.com/office/drawing/2014/main" id="{00000000-0008-0000-0400-000002000000}"/>
            </a:ext>
          </a:extLst>
        </xdr:cNvPr>
        <xdr:cNvSpPr txBox="1"/>
      </xdr:nvSpPr>
      <xdr:spPr>
        <a:xfrm>
          <a:off x="88900" y="12052300"/>
          <a:ext cx="13335000" cy="27686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25400</xdr:colOff>
      <xdr:row>40</xdr:row>
      <xdr:rowOff>12700</xdr:rowOff>
    </xdr:from>
    <xdr:to>
      <xdr:col>7</xdr:col>
      <xdr:colOff>3632200</xdr:colOff>
      <xdr:row>56</xdr:row>
      <xdr:rowOff>139700</xdr:rowOff>
    </xdr:to>
    <xdr:sp macro="" textlink="" fLocksText="0">
      <xdr:nvSpPr>
        <xdr:cNvPr id="2" name="TextBox 1">
          <a:extLst>
            <a:ext uri="{FF2B5EF4-FFF2-40B4-BE49-F238E27FC236}">
              <a16:creationId xmlns="" xmlns:a16="http://schemas.microsoft.com/office/drawing/2014/main" id="{00000000-0008-0000-0500-000002000000}"/>
            </a:ext>
          </a:extLst>
        </xdr:cNvPr>
        <xdr:cNvSpPr txBox="1"/>
      </xdr:nvSpPr>
      <xdr:spPr>
        <a:xfrm>
          <a:off x="25400" y="13436600"/>
          <a:ext cx="13398500" cy="29718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50800</xdr:colOff>
      <xdr:row>40</xdr:row>
      <xdr:rowOff>12700</xdr:rowOff>
    </xdr:from>
    <xdr:to>
      <xdr:col>7</xdr:col>
      <xdr:colOff>3657600</xdr:colOff>
      <xdr:row>57</xdr:row>
      <xdr:rowOff>139700</xdr:rowOff>
    </xdr:to>
    <xdr:sp macro="" textlink="" fLocksText="0">
      <xdr:nvSpPr>
        <xdr:cNvPr id="2" name="TextBox 1">
          <a:extLst>
            <a:ext uri="{FF2B5EF4-FFF2-40B4-BE49-F238E27FC236}">
              <a16:creationId xmlns="" xmlns:a16="http://schemas.microsoft.com/office/drawing/2014/main" id="{00000000-0008-0000-0600-000002000000}"/>
            </a:ext>
          </a:extLst>
        </xdr:cNvPr>
        <xdr:cNvSpPr txBox="1"/>
      </xdr:nvSpPr>
      <xdr:spPr>
        <a:xfrm>
          <a:off x="50800" y="15582900"/>
          <a:ext cx="13398500" cy="29337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n-US" sz="1100"/>
        </a:p>
        <a:p>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38100</xdr:colOff>
      <xdr:row>21</xdr:row>
      <xdr:rowOff>0</xdr:rowOff>
    </xdr:from>
    <xdr:to>
      <xdr:col>7</xdr:col>
      <xdr:colOff>3644900</xdr:colOff>
      <xdr:row>37</xdr:row>
      <xdr:rowOff>127000</xdr:rowOff>
    </xdr:to>
    <xdr:sp macro="" textlink="" fLocksText="0">
      <xdr:nvSpPr>
        <xdr:cNvPr id="2" name="TextBox 1">
          <a:extLst>
            <a:ext uri="{FF2B5EF4-FFF2-40B4-BE49-F238E27FC236}">
              <a16:creationId xmlns="" xmlns:a16="http://schemas.microsoft.com/office/drawing/2014/main" id="{00000000-0008-0000-0700-000002000000}"/>
            </a:ext>
          </a:extLst>
        </xdr:cNvPr>
        <xdr:cNvSpPr txBox="1"/>
      </xdr:nvSpPr>
      <xdr:spPr>
        <a:xfrm>
          <a:off x="38100" y="6451600"/>
          <a:ext cx="13398500" cy="27686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n-US" sz="1100"/>
        </a:p>
        <a:p>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50800</xdr:colOff>
      <xdr:row>39</xdr:row>
      <xdr:rowOff>0</xdr:rowOff>
    </xdr:from>
    <xdr:to>
      <xdr:col>7</xdr:col>
      <xdr:colOff>3657600</xdr:colOff>
      <xdr:row>54</xdr:row>
      <xdr:rowOff>139700</xdr:rowOff>
    </xdr:to>
    <xdr:sp macro="" textlink="" fLocksText="0">
      <xdr:nvSpPr>
        <xdr:cNvPr id="2" name="TextBox 1">
          <a:extLst>
            <a:ext uri="{FF2B5EF4-FFF2-40B4-BE49-F238E27FC236}">
              <a16:creationId xmlns="" xmlns:a16="http://schemas.microsoft.com/office/drawing/2014/main" id="{00000000-0008-0000-0800-000002000000}"/>
            </a:ext>
          </a:extLst>
        </xdr:cNvPr>
        <xdr:cNvSpPr txBox="1"/>
      </xdr:nvSpPr>
      <xdr:spPr>
        <a:xfrm>
          <a:off x="50800" y="14592300"/>
          <a:ext cx="13398500" cy="28067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n-US" sz="1100"/>
        </a:p>
        <a:p>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50800</xdr:colOff>
      <xdr:row>30</xdr:row>
      <xdr:rowOff>25400</xdr:rowOff>
    </xdr:from>
    <xdr:to>
      <xdr:col>7</xdr:col>
      <xdr:colOff>3657600</xdr:colOff>
      <xdr:row>46</xdr:row>
      <xdr:rowOff>152400</xdr:rowOff>
    </xdr:to>
    <xdr:sp macro="" textlink="">
      <xdr:nvSpPr>
        <xdr:cNvPr id="2" name="TextBox 1">
          <a:extLst>
            <a:ext uri="{FF2B5EF4-FFF2-40B4-BE49-F238E27FC236}">
              <a16:creationId xmlns="" xmlns:a16="http://schemas.microsoft.com/office/drawing/2014/main" id="{00000000-0008-0000-0900-000002000000}"/>
            </a:ext>
          </a:extLst>
        </xdr:cNvPr>
        <xdr:cNvSpPr txBox="1"/>
      </xdr:nvSpPr>
      <xdr:spPr>
        <a:xfrm>
          <a:off x="50800" y="9677400"/>
          <a:ext cx="13398500" cy="29718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n-US" sz="1100"/>
        </a:p>
        <a:p>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38100</xdr:colOff>
      <xdr:row>35</xdr:row>
      <xdr:rowOff>0</xdr:rowOff>
    </xdr:from>
    <xdr:to>
      <xdr:col>7</xdr:col>
      <xdr:colOff>3644900</xdr:colOff>
      <xdr:row>50</xdr:row>
      <xdr:rowOff>139700</xdr:rowOff>
    </xdr:to>
    <xdr:sp macro="" textlink="" fLocksText="0">
      <xdr:nvSpPr>
        <xdr:cNvPr id="2" name="TextBox 1">
          <a:extLst>
            <a:ext uri="{FF2B5EF4-FFF2-40B4-BE49-F238E27FC236}">
              <a16:creationId xmlns="" xmlns:a16="http://schemas.microsoft.com/office/drawing/2014/main" id="{00000000-0008-0000-0A00-000002000000}"/>
            </a:ext>
          </a:extLst>
        </xdr:cNvPr>
        <xdr:cNvSpPr txBox="1"/>
      </xdr:nvSpPr>
      <xdr:spPr>
        <a:xfrm>
          <a:off x="38100" y="10198100"/>
          <a:ext cx="13398500" cy="28067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n-US" sz="1100"/>
        </a:p>
      </xdr:txBody>
    </xdr:sp>
    <xdr:clientData/>
  </xdr:twoCellAnchor>
</xdr:wsDr>
</file>

<file path=xl/tables/table1.xml><?xml version="1.0" encoding="utf-8"?>
<table xmlns="http://schemas.openxmlformats.org/spreadsheetml/2006/main" id="1" name="Table1" displayName="Table1" ref="D62:G68" totalsRowShown="0" headerRowDxfId="83" dataDxfId="82">
  <autoFilter ref="D62:G68"/>
  <tableColumns count="4">
    <tableColumn id="1" name="Opção" dataDxfId="81"/>
    <tableColumn id="2" name="76-90" dataDxfId="80"/>
    <tableColumn id="3" name="45-75" dataDxfId="79"/>
    <tableColumn id="4" name="Column2" dataDxfId="78"/>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K24"/>
  <sheetViews>
    <sheetView workbookViewId="0">
      <selection sqref="A1:K24"/>
    </sheetView>
  </sheetViews>
  <sheetFormatPr baseColWidth="10" defaultColWidth="0" defaultRowHeight="14.25" zeroHeight="1"/>
  <cols>
    <col min="1" max="11" width="10.86328125" style="353" customWidth="1"/>
    <col min="12" max="16384" width="10.86328125" style="353" hidden="1"/>
  </cols>
  <sheetData>
    <row r="1" spans="1:11">
      <c r="A1" s="360" t="str">
        <f>Tags!B72</f>
        <v>The ESPA Worksheet uses Macros. Please enable content or close and reopen with Macros Enabled</v>
      </c>
      <c r="B1" s="360"/>
      <c r="C1" s="360"/>
      <c r="D1" s="360"/>
      <c r="E1" s="360"/>
      <c r="F1" s="360"/>
      <c r="G1" s="360"/>
      <c r="H1" s="360"/>
      <c r="I1" s="360"/>
      <c r="J1" s="360"/>
      <c r="K1" s="360"/>
    </row>
    <row r="2" spans="1:11">
      <c r="A2" s="360"/>
      <c r="B2" s="360"/>
      <c r="C2" s="360"/>
      <c r="D2" s="360"/>
      <c r="E2" s="360"/>
      <c r="F2" s="360"/>
      <c r="G2" s="360"/>
      <c r="H2" s="360"/>
      <c r="I2" s="360"/>
      <c r="J2" s="360"/>
      <c r="K2" s="360"/>
    </row>
    <row r="3" spans="1:11">
      <c r="A3" s="360"/>
      <c r="B3" s="360"/>
      <c r="C3" s="360"/>
      <c r="D3" s="360"/>
      <c r="E3" s="360"/>
      <c r="F3" s="360"/>
      <c r="G3" s="360"/>
      <c r="H3" s="360"/>
      <c r="I3" s="360"/>
      <c r="J3" s="360"/>
      <c r="K3" s="360"/>
    </row>
    <row r="4" spans="1:11">
      <c r="A4" s="360"/>
      <c r="B4" s="360"/>
      <c r="C4" s="360"/>
      <c r="D4" s="360"/>
      <c r="E4" s="360"/>
      <c r="F4" s="360"/>
      <c r="G4" s="360"/>
      <c r="H4" s="360"/>
      <c r="I4" s="360"/>
      <c r="J4" s="360"/>
      <c r="K4" s="360"/>
    </row>
    <row r="5" spans="1:11">
      <c r="A5" s="360"/>
      <c r="B5" s="360"/>
      <c r="C5" s="360"/>
      <c r="D5" s="360"/>
      <c r="E5" s="360"/>
      <c r="F5" s="360"/>
      <c r="G5" s="360"/>
      <c r="H5" s="360"/>
      <c r="I5" s="360"/>
      <c r="J5" s="360"/>
      <c r="K5" s="360"/>
    </row>
    <row r="6" spans="1:11">
      <c r="A6" s="360"/>
      <c r="B6" s="360"/>
      <c r="C6" s="360"/>
      <c r="D6" s="360"/>
      <c r="E6" s="360"/>
      <c r="F6" s="360"/>
      <c r="G6" s="360"/>
      <c r="H6" s="360"/>
      <c r="I6" s="360"/>
      <c r="J6" s="360"/>
      <c r="K6" s="360"/>
    </row>
    <row r="7" spans="1:11">
      <c r="A7" s="360"/>
      <c r="B7" s="360"/>
      <c r="C7" s="360"/>
      <c r="D7" s="360"/>
      <c r="E7" s="360"/>
      <c r="F7" s="360"/>
      <c r="G7" s="360"/>
      <c r="H7" s="360"/>
      <c r="I7" s="360"/>
      <c r="J7" s="360"/>
      <c r="K7" s="360"/>
    </row>
    <row r="8" spans="1:11">
      <c r="A8" s="360"/>
      <c r="B8" s="360"/>
      <c r="C8" s="360"/>
      <c r="D8" s="360"/>
      <c r="E8" s="360"/>
      <c r="F8" s="360"/>
      <c r="G8" s="360"/>
      <c r="H8" s="360"/>
      <c r="I8" s="360"/>
      <c r="J8" s="360"/>
      <c r="K8" s="360"/>
    </row>
    <row r="9" spans="1:11">
      <c r="A9" s="360"/>
      <c r="B9" s="360"/>
      <c r="C9" s="360"/>
      <c r="D9" s="360"/>
      <c r="E9" s="360"/>
      <c r="F9" s="360"/>
      <c r="G9" s="360"/>
      <c r="H9" s="360"/>
      <c r="I9" s="360"/>
      <c r="J9" s="360"/>
      <c r="K9" s="360"/>
    </row>
    <row r="10" spans="1:11">
      <c r="A10" s="360"/>
      <c r="B10" s="360"/>
      <c r="C10" s="360"/>
      <c r="D10" s="360"/>
      <c r="E10" s="360"/>
      <c r="F10" s="360"/>
      <c r="G10" s="360"/>
      <c r="H10" s="360"/>
      <c r="I10" s="360"/>
      <c r="J10" s="360"/>
      <c r="K10" s="360"/>
    </row>
    <row r="11" spans="1:11">
      <c r="A11" s="360"/>
      <c r="B11" s="360"/>
      <c r="C11" s="360"/>
      <c r="D11" s="360"/>
      <c r="E11" s="360"/>
      <c r="F11" s="360"/>
      <c r="G11" s="360"/>
      <c r="H11" s="360"/>
      <c r="I11" s="360"/>
      <c r="J11" s="360"/>
      <c r="K11" s="360"/>
    </row>
    <row r="12" spans="1:11">
      <c r="A12" s="360"/>
      <c r="B12" s="360"/>
      <c r="C12" s="360"/>
      <c r="D12" s="360"/>
      <c r="E12" s="360"/>
      <c r="F12" s="360"/>
      <c r="G12" s="360"/>
      <c r="H12" s="360"/>
      <c r="I12" s="360"/>
      <c r="J12" s="360"/>
      <c r="K12" s="360"/>
    </row>
    <row r="13" spans="1:11">
      <c r="A13" s="360"/>
      <c r="B13" s="360"/>
      <c r="C13" s="360"/>
      <c r="D13" s="360"/>
      <c r="E13" s="360"/>
      <c r="F13" s="360"/>
      <c r="G13" s="360"/>
      <c r="H13" s="360"/>
      <c r="I13" s="360"/>
      <c r="J13" s="360"/>
      <c r="K13" s="360"/>
    </row>
    <row r="14" spans="1:11">
      <c r="A14" s="360"/>
      <c r="B14" s="360"/>
      <c r="C14" s="360"/>
      <c r="D14" s="360"/>
      <c r="E14" s="360"/>
      <c r="F14" s="360"/>
      <c r="G14" s="360"/>
      <c r="H14" s="360"/>
      <c r="I14" s="360"/>
      <c r="J14" s="360"/>
      <c r="K14" s="360"/>
    </row>
    <row r="15" spans="1:11">
      <c r="A15" s="360"/>
      <c r="B15" s="360"/>
      <c r="C15" s="360"/>
      <c r="D15" s="360"/>
      <c r="E15" s="360"/>
      <c r="F15" s="360"/>
      <c r="G15" s="360"/>
      <c r="H15" s="360"/>
      <c r="I15" s="360"/>
      <c r="J15" s="360"/>
      <c r="K15" s="360"/>
    </row>
    <row r="16" spans="1:11">
      <c r="A16" s="360"/>
      <c r="B16" s="360"/>
      <c r="C16" s="360"/>
      <c r="D16" s="360"/>
      <c r="E16" s="360"/>
      <c r="F16" s="360"/>
      <c r="G16" s="360"/>
      <c r="H16" s="360"/>
      <c r="I16" s="360"/>
      <c r="J16" s="360"/>
      <c r="K16" s="360"/>
    </row>
    <row r="17" spans="1:11">
      <c r="A17" s="360"/>
      <c r="B17" s="360"/>
      <c r="C17" s="360"/>
      <c r="D17" s="360"/>
      <c r="E17" s="360"/>
      <c r="F17" s="360"/>
      <c r="G17" s="360"/>
      <c r="H17" s="360"/>
      <c r="I17" s="360"/>
      <c r="J17" s="360"/>
      <c r="K17" s="360"/>
    </row>
    <row r="18" spans="1:11">
      <c r="A18" s="360"/>
      <c r="B18" s="360"/>
      <c r="C18" s="360"/>
      <c r="D18" s="360"/>
      <c r="E18" s="360"/>
      <c r="F18" s="360"/>
      <c r="G18" s="360"/>
      <c r="H18" s="360"/>
      <c r="I18" s="360"/>
      <c r="J18" s="360"/>
      <c r="K18" s="360"/>
    </row>
    <row r="19" spans="1:11">
      <c r="A19" s="360"/>
      <c r="B19" s="360"/>
      <c r="C19" s="360"/>
      <c r="D19" s="360"/>
      <c r="E19" s="360"/>
      <c r="F19" s="360"/>
      <c r="G19" s="360"/>
      <c r="H19" s="360"/>
      <c r="I19" s="360"/>
      <c r="J19" s="360"/>
      <c r="K19" s="360"/>
    </row>
    <row r="20" spans="1:11">
      <c r="A20" s="360"/>
      <c r="B20" s="360"/>
      <c r="C20" s="360"/>
      <c r="D20" s="360"/>
      <c r="E20" s="360"/>
      <c r="F20" s="360"/>
      <c r="G20" s="360"/>
      <c r="H20" s="360"/>
      <c r="I20" s="360"/>
      <c r="J20" s="360"/>
      <c r="K20" s="360"/>
    </row>
    <row r="21" spans="1:11">
      <c r="A21" s="360"/>
      <c r="B21" s="360"/>
      <c r="C21" s="360"/>
      <c r="D21" s="360"/>
      <c r="E21" s="360"/>
      <c r="F21" s="360"/>
      <c r="G21" s="360"/>
      <c r="H21" s="360"/>
      <c r="I21" s="360"/>
      <c r="J21" s="360"/>
      <c r="K21" s="360"/>
    </row>
    <row r="22" spans="1:11">
      <c r="A22" s="360"/>
      <c r="B22" s="360"/>
      <c r="C22" s="360"/>
      <c r="D22" s="360"/>
      <c r="E22" s="360"/>
      <c r="F22" s="360"/>
      <c r="G22" s="360"/>
      <c r="H22" s="360"/>
      <c r="I22" s="360"/>
      <c r="J22" s="360"/>
      <c r="K22" s="360"/>
    </row>
    <row r="23" spans="1:11">
      <c r="A23" s="360"/>
      <c r="B23" s="360"/>
      <c r="C23" s="360"/>
      <c r="D23" s="360"/>
      <c r="E23" s="360"/>
      <c r="F23" s="360"/>
      <c r="G23" s="360"/>
      <c r="H23" s="360"/>
      <c r="I23" s="360"/>
      <c r="J23" s="360"/>
      <c r="K23" s="360"/>
    </row>
    <row r="24" spans="1:11">
      <c r="A24" s="360"/>
      <c r="B24" s="360"/>
      <c r="C24" s="360"/>
      <c r="D24" s="360"/>
      <c r="E24" s="360"/>
      <c r="F24" s="360"/>
      <c r="G24" s="360"/>
      <c r="H24" s="360"/>
      <c r="I24" s="360"/>
      <c r="J24" s="360"/>
      <c r="K24" s="360"/>
    </row>
  </sheetData>
  <sheetProtection algorithmName="SHA-512" hashValue="6R5eSuLscGpb9bA+OKrb3hSpdqbTxRQAC4d5tBEKRWfcLMTuFcvw2Zh9wvZKmJdrn59McmY6BSFBu8r/GeXI/A==" saltValue="/nKXkd0tZfTGGJVuiJQ2PQ==" spinCount="100000" sheet="1" objects="1" scenarios="1" formatRows="0" selectLockedCells="1"/>
  <mergeCells count="1">
    <mergeCell ref="A1:K24"/>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I51"/>
  <sheetViews>
    <sheetView showGridLines="0" workbookViewId="0">
      <pane ySplit="8" topLeftCell="A9" activePane="bottomLeft" state="frozenSplit"/>
      <selection activeCell="C11" sqref="C11:E11"/>
      <selection pane="bottomLeft" activeCell="H27" sqref="H27"/>
    </sheetView>
  </sheetViews>
  <sheetFormatPr baseColWidth="10" defaultColWidth="0" defaultRowHeight="14.25" zeroHeight="1"/>
  <cols>
    <col min="1" max="1" width="4.86328125" style="6" customWidth="1"/>
    <col min="2" max="2" width="58" style="6" customWidth="1"/>
    <col min="3" max="3" width="15.265625" style="6" customWidth="1"/>
    <col min="4" max="5" width="11" style="6" customWidth="1"/>
    <col min="6" max="6" width="15.86328125" style="6" customWidth="1"/>
    <col min="7" max="7" width="12.3984375" style="6" customWidth="1"/>
    <col min="8" max="8" width="48.3984375" style="6" customWidth="1"/>
    <col min="9" max="9" width="0.3984375" style="6" customWidth="1"/>
    <col min="10" max="16384" width="8.86328125" style="6" hidden="1"/>
  </cols>
  <sheetData>
    <row r="1" spans="1:8" s="24" customFormat="1" ht="27.95" customHeight="1" thickTop="1" thickBot="1">
      <c r="A1" s="126">
        <v>7</v>
      </c>
      <c r="B1" s="127" t="str">
        <f>Languages!B138</f>
        <v>Security Equipment</v>
      </c>
      <c r="C1" s="63"/>
      <c r="D1" s="64"/>
      <c r="E1" s="128" t="str">
        <f>IF(C6&gt;0,Tags!B21,Tags!B20)</f>
        <v>Incompleted</v>
      </c>
      <c r="F1" s="129" t="s">
        <v>485</v>
      </c>
      <c r="G1" s="130">
        <f>F5*F6</f>
        <v>0</v>
      </c>
      <c r="H1" s="131">
        <f>F5</f>
        <v>0</v>
      </c>
    </row>
    <row r="2" spans="1:8" s="24" customFormat="1" ht="12.95" customHeight="1" thickTop="1"/>
    <row r="3" spans="1:8" s="24" customFormat="1" ht="12.95" customHeight="1">
      <c r="B3" s="132" t="str">
        <f>Tags!B30</f>
        <v>Total Items</v>
      </c>
      <c r="C3" s="123">
        <v>8</v>
      </c>
      <c r="E3" s="132" t="str">
        <f>Tags!B34</f>
        <v>Score</v>
      </c>
      <c r="F3" s="133">
        <f>E27</f>
        <v>0</v>
      </c>
      <c r="G3" s="44"/>
      <c r="H3" s="440" t="str">
        <f>Evaluation!M12</f>
        <v>Incomplete</v>
      </c>
    </row>
    <row r="4" spans="1:8" s="24" customFormat="1" ht="12.95" customHeight="1">
      <c r="B4" s="132" t="str">
        <f>Tags!B31</f>
        <v>Total Items + SubItems</v>
      </c>
      <c r="C4" s="123">
        <v>16</v>
      </c>
      <c r="E4" s="132" t="str">
        <f>Tags!B35</f>
        <v>Maximum Score</v>
      </c>
      <c r="F4" s="133">
        <f>D27</f>
        <v>35</v>
      </c>
      <c r="G4" s="44"/>
      <c r="H4" s="441"/>
    </row>
    <row r="5" spans="1:8" s="24" customFormat="1" ht="12.95" customHeight="1">
      <c r="B5" s="132" t="str">
        <f>Tags!B32</f>
        <v>Itens Completed</v>
      </c>
      <c r="C5" s="133">
        <f>COUNTA(C9:C10,C12:C19,C21:C26)</f>
        <v>0</v>
      </c>
      <c r="E5" s="132" t="str">
        <f>Tags!B36</f>
        <v>Percentage</v>
      </c>
      <c r="F5" s="134">
        <f>F3/F4</f>
        <v>0</v>
      </c>
      <c r="G5" s="135"/>
      <c r="H5" s="441"/>
    </row>
    <row r="6" spans="1:8" s="24" customFormat="1" ht="12.95" customHeight="1">
      <c r="B6" s="132" t="str">
        <f>Tags!B33</f>
        <v>Not measured</v>
      </c>
      <c r="C6" s="133">
        <f>C4-C5</f>
        <v>16</v>
      </c>
      <c r="E6" s="132" t="str">
        <f>Tags!B37</f>
        <v>Category Value</v>
      </c>
      <c r="F6" s="133">
        <f>VLOOKUP(A1,Evaluation!$A$7:$M$15,11)</f>
        <v>8</v>
      </c>
      <c r="G6" s="44"/>
      <c r="H6" s="442"/>
    </row>
    <row r="7" spans="1:8" s="24" customFormat="1" ht="12.95" customHeight="1"/>
    <row r="8" spans="1:8" ht="51.95" customHeight="1">
      <c r="A8" s="18">
        <v>7</v>
      </c>
      <c r="B8" s="17" t="str">
        <f>Tags!B55</f>
        <v>Item List</v>
      </c>
      <c r="C8" s="89" t="str">
        <f>Tags!B56</f>
        <v>Measured value</v>
      </c>
      <c r="D8" s="8" t="str">
        <f>E4</f>
        <v>Maximum Score</v>
      </c>
      <c r="E8" s="8" t="str">
        <f>E3</f>
        <v>Score</v>
      </c>
      <c r="F8" s="8" t="str">
        <f>Tags!D57</f>
        <v>Maximum Contribuition for Final Score</v>
      </c>
      <c r="G8" s="8" t="str">
        <f>Tags!D58</f>
        <v>Contribuition for Final Score</v>
      </c>
      <c r="H8" s="8" t="str">
        <f>Tags!D59</f>
        <v>Remarks</v>
      </c>
    </row>
    <row r="9" spans="1:8" s="24" customFormat="1" ht="24" customHeight="1">
      <c r="A9" s="164" t="s">
        <v>506</v>
      </c>
      <c r="B9" s="165" t="str">
        <f>Languages!B140</f>
        <v>CCTV with notice at entrance = 3, No CCTV =0</v>
      </c>
      <c r="C9" s="100"/>
      <c r="D9" s="23">
        <v>3</v>
      </c>
      <c r="E9" s="36" t="str">
        <f>IF(C9=yes,3,IF(C9=no,0,"NA"))</f>
        <v>NA</v>
      </c>
      <c r="F9" s="65">
        <f>D9/$F$4*$F$6</f>
        <v>0.68571428571428572</v>
      </c>
      <c r="G9" s="65">
        <f>IF(ISNUMBER(E9),E9/$F$4*$F$6,0)</f>
        <v>0</v>
      </c>
      <c r="H9" s="169"/>
    </row>
    <row r="10" spans="1:8" s="24" customFormat="1" ht="36" customHeight="1">
      <c r="A10" s="164" t="s">
        <v>507</v>
      </c>
      <c r="B10" s="165" t="str">
        <f>Languages!B141</f>
        <v>Staff surveillance (on-site or remote)
•  Yes = 5, No = 0</v>
      </c>
      <c r="C10" s="100"/>
      <c r="D10" s="23">
        <v>5</v>
      </c>
      <c r="E10" s="36" t="str">
        <f>IF(C10=yes,5,IF(C10=no,0,"NA"))</f>
        <v>NA</v>
      </c>
      <c r="F10" s="65">
        <f>D10/$F$4*$F$6</f>
        <v>1.1428571428571428</v>
      </c>
      <c r="G10" s="65">
        <f>IF(ISNUMBER(E10),E10/$F$4*$F$6,0)</f>
        <v>0</v>
      </c>
      <c r="H10" s="169"/>
    </row>
    <row r="11" spans="1:8" s="24" customFormat="1" ht="24" customHeight="1">
      <c r="A11" s="469" t="s">
        <v>508</v>
      </c>
      <c r="B11" s="166" t="str">
        <f>Languages!B142</f>
        <v>CCTV at:</v>
      </c>
      <c r="C11" s="22"/>
      <c r="D11" s="502">
        <v>10</v>
      </c>
      <c r="E11" s="30" t="str">
        <f>IF(ISERROR(E12+E13+E14+E15+E16+E17+E18+E19),"NA",SUM(E12:E19))</f>
        <v>NA</v>
      </c>
      <c r="F11" s="505">
        <f>D11/$F$4*$F$6</f>
        <v>2.2857142857142856</v>
      </c>
      <c r="G11" s="508">
        <f>IF(ISNUMBER(E11),E11/$F$4*$F$6,0)</f>
        <v>0</v>
      </c>
      <c r="H11" s="466"/>
    </row>
    <row r="12" spans="1:8" s="24" customFormat="1" ht="24" customHeight="1">
      <c r="A12" s="470"/>
      <c r="B12" s="167" t="str">
        <f>Languages!B143</f>
        <v>Car Entry: Yes =1, No =0</v>
      </c>
      <c r="C12" s="105"/>
      <c r="D12" s="503"/>
      <c r="E12" s="27" t="str">
        <f t="shared" ref="E12:E17" si="0">IF(C12=yes,1,IF(C12=no,0,"NA"))</f>
        <v>NA</v>
      </c>
      <c r="F12" s="506"/>
      <c r="G12" s="509"/>
      <c r="H12" s="467"/>
    </row>
    <row r="13" spans="1:8" s="24" customFormat="1" ht="24" customHeight="1">
      <c r="A13" s="470"/>
      <c r="B13" s="167" t="str">
        <f>Languages!B144</f>
        <v xml:space="preserve"> Car Exit: Yes =1, No =0</v>
      </c>
      <c r="C13" s="105"/>
      <c r="D13" s="503"/>
      <c r="E13" s="27" t="str">
        <f t="shared" si="0"/>
        <v>NA</v>
      </c>
      <c r="F13" s="506"/>
      <c r="G13" s="509"/>
      <c r="H13" s="467"/>
    </row>
    <row r="14" spans="1:8" s="24" customFormat="1" ht="24" customHeight="1">
      <c r="A14" s="470"/>
      <c r="B14" s="167" t="str">
        <f>Languages!B145</f>
        <v>Pay Machine: Yes =1, No =0</v>
      </c>
      <c r="C14" s="105"/>
      <c r="D14" s="503"/>
      <c r="E14" s="27" t="str">
        <f t="shared" si="0"/>
        <v>NA</v>
      </c>
      <c r="F14" s="506"/>
      <c r="G14" s="509"/>
      <c r="H14" s="467"/>
    </row>
    <row r="15" spans="1:8" s="24" customFormat="1" ht="24" customHeight="1">
      <c r="A15" s="470"/>
      <c r="B15" s="167" t="str">
        <f>Languages!B146</f>
        <v>Elevator Hall, every level: Yes =1, No =0</v>
      </c>
      <c r="C15" s="105"/>
      <c r="D15" s="503"/>
      <c r="E15" s="27" t="str">
        <f t="shared" si="0"/>
        <v>NA</v>
      </c>
      <c r="F15" s="506"/>
      <c r="G15" s="509"/>
      <c r="H15" s="467"/>
    </row>
    <row r="16" spans="1:8" s="24" customFormat="1" ht="24" customHeight="1">
      <c r="A16" s="470"/>
      <c r="B16" s="167" t="str">
        <f>Languages!B147</f>
        <v>Stairwells, every level: Yes =1, No =0</v>
      </c>
      <c r="C16" s="105"/>
      <c r="D16" s="503"/>
      <c r="E16" s="27" t="str">
        <f t="shared" si="0"/>
        <v>NA</v>
      </c>
      <c r="F16" s="506"/>
      <c r="G16" s="509"/>
      <c r="H16" s="467"/>
    </row>
    <row r="17" spans="1:8" s="24" customFormat="1" ht="24" customHeight="1">
      <c r="A17" s="470"/>
      <c r="B17" s="167" t="str">
        <f>Languages!B148</f>
        <v>Pedestrian Entrances: Yes =1, No =0</v>
      </c>
      <c r="C17" s="105"/>
      <c r="D17" s="503"/>
      <c r="E17" s="27" t="str">
        <f t="shared" si="0"/>
        <v>NA</v>
      </c>
      <c r="F17" s="506"/>
      <c r="G17" s="509"/>
      <c r="H17" s="467"/>
    </row>
    <row r="18" spans="1:8" s="24" customFormat="1" ht="24" customHeight="1">
      <c r="A18" s="470"/>
      <c r="B18" s="167" t="str">
        <f>Languages!B149</f>
        <v>Most of Parking Area (65%):Yes =3, No =0</v>
      </c>
      <c r="C18" s="105"/>
      <c r="D18" s="503"/>
      <c r="E18" s="27" t="str">
        <f>IF(C18=yes,3,IF(C18=no,0,"NA"))</f>
        <v>NA</v>
      </c>
      <c r="F18" s="506"/>
      <c r="G18" s="509"/>
      <c r="H18" s="467"/>
    </row>
    <row r="19" spans="1:8" s="24" customFormat="1" ht="24" customHeight="1">
      <c r="A19" s="471"/>
      <c r="B19" s="167" t="str">
        <f>Languages!B150</f>
        <v xml:space="preserve"> Ramps: Yes = 1, No = 0</v>
      </c>
      <c r="C19" s="105"/>
      <c r="D19" s="504"/>
      <c r="E19" s="27" t="str">
        <f>IF(C19=yes,1,IF(C19=no,0,"NA"))</f>
        <v>NA</v>
      </c>
      <c r="F19" s="507"/>
      <c r="G19" s="510"/>
      <c r="H19" s="468"/>
    </row>
    <row r="20" spans="1:8" s="24" customFormat="1" ht="24" customHeight="1">
      <c r="A20" s="469" t="s">
        <v>509</v>
      </c>
      <c r="B20" s="166" t="str">
        <f>Languages!B151</f>
        <v>Staff contactable via:</v>
      </c>
      <c r="C20" s="22"/>
      <c r="D20" s="502">
        <v>6</v>
      </c>
      <c r="E20" s="30" t="str">
        <f>IF(ISERROR(E21+E22),"NA",SUM(E21:E22))</f>
        <v>NA</v>
      </c>
      <c r="F20" s="505">
        <f>D20/$F$4*$F$6</f>
        <v>1.3714285714285714</v>
      </c>
      <c r="G20" s="508">
        <f>IF(ISNUMBER(E20),E20/$F$4*$F$6,0)</f>
        <v>0</v>
      </c>
      <c r="H20" s="466"/>
    </row>
    <row r="21" spans="1:8" s="24" customFormat="1" ht="36" customHeight="1">
      <c r="A21" s="470"/>
      <c r="B21" s="167" t="str">
        <f>Languages!B152</f>
        <v>Intercom at pay machine and/or controlled entries (24/7=3, All access hours if not 24/7= 2, Part time/not available = 0)</v>
      </c>
      <c r="C21" s="105"/>
      <c r="D21" s="503"/>
      <c r="E21" s="27" t="str">
        <f>IF(C21=Options!B113,3,IF(C21=Options!B114,2,IF(C21=Options!B115,0,"NA")))</f>
        <v>NA</v>
      </c>
      <c r="F21" s="506"/>
      <c r="G21" s="509"/>
      <c r="H21" s="467"/>
    </row>
    <row r="22" spans="1:8" s="24" customFormat="1" ht="36" customHeight="1">
      <c r="A22" s="471"/>
      <c r="B22" s="167" t="str">
        <f>Languages!B153</f>
        <v>Emergency call system in parking area (24/7=3, All access hours if not 24/7= 2, Part time/not available = 0)</v>
      </c>
      <c r="C22" s="105"/>
      <c r="D22" s="504"/>
      <c r="E22" s="27" t="str">
        <f>IF(C22=Options!B113,3,IF(C22=Options!B114,2,IF(C22=Options!B115,0,"NA")))</f>
        <v>NA</v>
      </c>
      <c r="F22" s="507"/>
      <c r="G22" s="510"/>
      <c r="H22" s="468"/>
    </row>
    <row r="23" spans="1:8" s="24" customFormat="1" ht="36" customHeight="1">
      <c r="A23" s="164" t="s">
        <v>510</v>
      </c>
      <c r="B23" s="165" t="str">
        <f>Languages!B154</f>
        <v>Recognizable staff present and patrolling car park
(24/7 = 3, During access Hours = 2, Less than access Hours = 1, No = 0)</v>
      </c>
      <c r="C23" s="100"/>
      <c r="D23" s="23">
        <v>3</v>
      </c>
      <c r="E23" s="36" t="str">
        <f>IF(C23=Options!B117,3,IF(C23=Options!B118,2,IF(C23=Options!B119,1,IF(C23=Options!B120,0,"NA"))))</f>
        <v>NA</v>
      </c>
      <c r="F23" s="65">
        <f t="shared" ref="F23:F26" si="1">D23/$F$4*$F$6</f>
        <v>0.68571428571428572</v>
      </c>
      <c r="G23" s="65">
        <f t="shared" ref="G23:G26" si="2">IF(ISNUMBER(E23),E23/$F$4*$F$6,0)</f>
        <v>0</v>
      </c>
      <c r="H23" s="169"/>
    </row>
    <row r="24" spans="1:8" s="24" customFormat="1" ht="62.1" customHeight="1">
      <c r="A24" s="164" t="s">
        <v>511</v>
      </c>
      <c r="B24" s="165" t="str">
        <f>Languages!B155</f>
        <v>Lockable vehicle exit/entry: 
(Closed gate/rolling shutter  after access hours = 2, Secured: fast opening gate during day = 4, Secured: slow opening gate during day = 2, No provisions = 0)</v>
      </c>
      <c r="C24" s="100"/>
      <c r="D24" s="23">
        <v>4</v>
      </c>
      <c r="E24" s="36" t="str">
        <f>IF(C24=Options!B122,2,IF(C24=Options!B123,4,IF(Options!B124=C24,2,IF(C24=Options!B125,0,"NA"))))</f>
        <v>NA</v>
      </c>
      <c r="F24" s="65">
        <f t="shared" si="1"/>
        <v>0.91428571428571426</v>
      </c>
      <c r="G24" s="65">
        <f t="shared" si="2"/>
        <v>0</v>
      </c>
      <c r="H24" s="169"/>
    </row>
    <row r="25" spans="1:8" s="24" customFormat="1" ht="48.95" customHeight="1">
      <c r="A25" s="164" t="s">
        <v>512</v>
      </c>
      <c r="B25" s="165" t="str">
        <f>Languages!B156</f>
        <v>Lockable pedestrian exit/entry (after opening hours).
(Door/gate/rolling shutter &lt;= 15cm maximum aperture = 2, over 15 cm = 0, no provisions = 0, Irrelevant (24 hours opening) = 2)</v>
      </c>
      <c r="C25" s="100"/>
      <c r="D25" s="23">
        <v>2</v>
      </c>
      <c r="E25" s="36" t="str">
        <f>IF(C25=Options!B127,2,IF(OR(C25=Options!B128,C25=Options!B129),0,IF(Options!B130=C25,2,"NA")))</f>
        <v>NA</v>
      </c>
      <c r="F25" s="65">
        <f t="shared" si="1"/>
        <v>0.45714285714285713</v>
      </c>
      <c r="G25" s="65">
        <f t="shared" si="2"/>
        <v>0</v>
      </c>
      <c r="H25" s="169"/>
    </row>
    <row r="26" spans="1:8" s="24" customFormat="1" ht="48.95" customHeight="1">
      <c r="A26" s="164" t="s">
        <v>513</v>
      </c>
      <c r="B26" s="165" t="str">
        <f>Languages!B157</f>
        <v>Grilles on external openings &amp; security grilles
(&lt;= 15 cm = 2, &gt; 15 cm or no protection= 0, Irrelevant (no external openings) = 2)</v>
      </c>
      <c r="C26" s="100"/>
      <c r="D26" s="23">
        <v>2</v>
      </c>
      <c r="E26" s="36" t="str">
        <f>IF(OR(C26=Options!B132,C26=Options!B134),2,IF(C26=Options!B133,0,"NA"))</f>
        <v>NA</v>
      </c>
      <c r="F26" s="65">
        <f t="shared" si="1"/>
        <v>0.45714285714285713</v>
      </c>
      <c r="G26" s="65">
        <f t="shared" si="2"/>
        <v>0</v>
      </c>
      <c r="H26" s="169"/>
    </row>
    <row r="27" spans="1:8" ht="24.95" customHeight="1">
      <c r="A27" s="5"/>
      <c r="B27" s="143" t="str">
        <f>CONCATENATE(Tags!$B$50," ",$B$1)</f>
        <v>Subtotals Security Equipment</v>
      </c>
      <c r="C27" s="174"/>
      <c r="D27" s="2">
        <f>SUM(D9:D26)</f>
        <v>35</v>
      </c>
      <c r="E27" s="25">
        <f>SUM(E23:E26,E20,E9:E11)</f>
        <v>0</v>
      </c>
      <c r="F27" s="9">
        <f>SUM(F9:F26)</f>
        <v>8</v>
      </c>
      <c r="G27" s="61">
        <f>SUM(G9:G26)</f>
        <v>0</v>
      </c>
      <c r="H27" s="173"/>
    </row>
    <row r="28" spans="1:8"/>
    <row r="29" spans="1:8" ht="15">
      <c r="A29" s="175" t="str">
        <f>Tags!B60</f>
        <v>Notes</v>
      </c>
    </row>
    <row r="30" spans="1:8"/>
    <row r="31" spans="1:8"/>
    <row r="32" spans="1:8"/>
    <row r="33"/>
    <row r="34"/>
    <row r="35"/>
    <row r="36"/>
    <row r="37"/>
    <row r="38"/>
    <row r="39"/>
    <row r="40"/>
    <row r="41"/>
    <row r="42"/>
    <row r="43"/>
    <row r="44"/>
    <row r="45"/>
    <row r="46"/>
    <row r="47"/>
    <row r="48" hidden="1"/>
    <row r="49" spans="2:4" hidden="1"/>
    <row r="50" spans="2:4" hidden="1">
      <c r="B50" s="24"/>
      <c r="C50" s="24"/>
      <c r="D50" s="24"/>
    </row>
    <row r="51" spans="2:4" hidden="1">
      <c r="B51" s="24"/>
      <c r="C51" s="24"/>
      <c r="D51" s="24"/>
    </row>
  </sheetData>
  <sheetProtection algorithmName="SHA-512" hashValue="u68actoSl5XOgcPGFWjdXSmaysBizTC4bjBH5gsFa2Vwg/ymWotfe4hXN8XA2QLtZE5qQV6R5x94Gr1sOCOFuQ==" saltValue="h6B2WqMidX0rHFer0Bemlg==" spinCount="100000" sheet="1" objects="1" scenarios="1" formatRows="0" selectLockedCells="1"/>
  <mergeCells count="11">
    <mergeCell ref="H20:H22"/>
    <mergeCell ref="H3:H6"/>
    <mergeCell ref="A11:A19"/>
    <mergeCell ref="D11:D19"/>
    <mergeCell ref="F11:F19"/>
    <mergeCell ref="G11:G19"/>
    <mergeCell ref="A20:A22"/>
    <mergeCell ref="D20:D22"/>
    <mergeCell ref="G20:G22"/>
    <mergeCell ref="F20:F22"/>
    <mergeCell ref="H11:H19"/>
  </mergeCells>
  <phoneticPr fontId="24" type="noConversion"/>
  <conditionalFormatting sqref="C11">
    <cfRule type="expression" dxfId="64" priority="18">
      <formula>($C$9="Yes")</formula>
    </cfRule>
  </conditionalFormatting>
  <conditionalFormatting sqref="C11">
    <cfRule type="expression" dxfId="63" priority="17">
      <formula>($C$10="Yes")</formula>
    </cfRule>
  </conditionalFormatting>
  <conditionalFormatting sqref="C20">
    <cfRule type="expression" dxfId="62" priority="14">
      <formula>($C$9="Yes")</formula>
    </cfRule>
  </conditionalFormatting>
  <conditionalFormatting sqref="C20">
    <cfRule type="expression" dxfId="61" priority="13">
      <formula>($C$10="Yes")</formula>
    </cfRule>
  </conditionalFormatting>
  <conditionalFormatting sqref="H3:H6">
    <cfRule type="expression" dxfId="60" priority="1">
      <formula>$G$3="Fail"</formula>
    </cfRule>
    <cfRule type="expression" dxfId="59" priority="2">
      <formula>($G$3="Pass")</formula>
    </cfRule>
  </conditionalFormatting>
  <dataValidations count="1">
    <dataValidation type="list" allowBlank="1" showInputMessage="1" showErrorMessage="1" sqref="C12:C19 C9:C10">
      <formula1>YesNo</formula1>
    </dataValidation>
  </dataValidations>
  <printOptions horizontalCentered="1"/>
  <pageMargins left="0.71" right="0.71" top="0.75000000000000011" bottom="0.75000000000000011" header="0.31" footer="0.31"/>
  <pageSetup paperSize="9" scale="46" orientation="portrait" horizontalDpi="300" verticalDpi="300"/>
  <headerFooter>
    <oddHeader>&amp;L&amp;"Calibri,Bold"&amp;K000000EPA - Checklist for the European Standard Parking Award</oddHeader>
    <oddFooter>&amp;L&amp;K000000[File]&amp;A</oddFooter>
  </headerFooter>
  <drawing r:id="rId1"/>
  <extLst>
    <ext xmlns:x14="http://schemas.microsoft.com/office/spreadsheetml/2009/9/main" uri="{78C0D931-6437-407d-A8EE-F0AAD7539E65}">
      <x14:conditionalFormattings>
        <x14:conditionalFormatting xmlns:xm="http://schemas.microsoft.com/office/excel/2006/main">
          <x14:cfRule type="expression" priority="6" id="{6FA203AC-47D6-AA4E-B65F-37864A63EBF1}">
            <xm:f>$D$1=Tags!$B$21</xm:f>
            <x14:dxf>
              <font>
                <color rgb="FF9C0006"/>
              </font>
            </x14:dxf>
          </x14:cfRule>
          <xm:sqref>D1</xm:sqref>
        </x14:conditionalFormatting>
        <x14:conditionalFormatting xmlns:xm="http://schemas.microsoft.com/office/excel/2006/main">
          <x14:cfRule type="expression" priority="5" id="{2A6E84AF-5B3F-A245-9F58-F0C41D0FCED0}">
            <xm:f>$D$1=Tags!$B$21</xm:f>
            <x14:dxf>
              <font>
                <color rgb="FF9C0006"/>
              </font>
            </x14:dxf>
          </x14:cfRule>
          <xm:sqref>E1</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Options!$B$113:$B$115</xm:f>
          </x14:formula1>
          <xm:sqref>C21:C22</xm:sqref>
        </x14:dataValidation>
        <x14:dataValidation type="list" allowBlank="1" showInputMessage="1" showErrorMessage="1">
          <x14:formula1>
            <xm:f>Options!$B$117:$B$120</xm:f>
          </x14:formula1>
          <xm:sqref>C23</xm:sqref>
        </x14:dataValidation>
        <x14:dataValidation type="list" allowBlank="1" showInputMessage="1" showErrorMessage="1">
          <x14:formula1>
            <xm:f>Options!$B$122:$B$125</xm:f>
          </x14:formula1>
          <xm:sqref>C24</xm:sqref>
        </x14:dataValidation>
        <x14:dataValidation type="list" allowBlank="1" showInputMessage="1" showErrorMessage="1">
          <x14:formula1>
            <xm:f>Options!$B$127:$B$130</xm:f>
          </x14:formula1>
          <xm:sqref>C25</xm:sqref>
        </x14:dataValidation>
        <x14:dataValidation type="list" allowBlank="1" showInputMessage="1" showErrorMessage="1">
          <x14:formula1>
            <xm:f>Options!$B$132:$B$134</xm:f>
          </x14:formula1>
          <xm:sqref>C26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I52"/>
  <sheetViews>
    <sheetView showGridLines="0" workbookViewId="0">
      <pane ySplit="8" topLeftCell="A9" activePane="bottomLeft" state="frozenSplit"/>
      <selection activeCell="C11" sqref="C11:E11"/>
      <selection pane="bottomLeft" activeCell="H32" sqref="H32"/>
    </sheetView>
  </sheetViews>
  <sheetFormatPr baseColWidth="10" defaultColWidth="0" defaultRowHeight="14.25" zeroHeight="1"/>
  <cols>
    <col min="1" max="1" width="4.86328125" style="6" customWidth="1"/>
    <col min="2" max="2" width="58" style="6" customWidth="1"/>
    <col min="3" max="3" width="15.86328125" style="6" customWidth="1"/>
    <col min="4" max="5" width="11" style="6" customWidth="1"/>
    <col min="6" max="6" width="15.86328125" style="6" customWidth="1"/>
    <col min="7" max="7" width="12.3984375" style="6" customWidth="1"/>
    <col min="8" max="8" width="48.3984375" style="6" customWidth="1"/>
    <col min="9" max="9" width="0.3984375" style="6" customWidth="1"/>
    <col min="10" max="16384" width="8.86328125" style="6" hidden="1"/>
  </cols>
  <sheetData>
    <row r="1" spans="1:8" s="24" customFormat="1" ht="27.95" customHeight="1" thickTop="1" thickBot="1">
      <c r="A1" s="126">
        <v>8</v>
      </c>
      <c r="B1" s="127" t="str">
        <f>Languages!B158</f>
        <v>Wayfinding Inside and Outside</v>
      </c>
      <c r="C1" s="63"/>
      <c r="D1" s="64"/>
      <c r="E1" s="128" t="str">
        <f>IF(C6&gt;0,Tags!B21,Tags!B20)</f>
        <v>Incompleted</v>
      </c>
      <c r="F1" s="129" t="s">
        <v>485</v>
      </c>
      <c r="G1" s="130">
        <f>F5*F6</f>
        <v>0</v>
      </c>
      <c r="H1" s="131">
        <f>F5</f>
        <v>0</v>
      </c>
    </row>
    <row r="2" spans="1:8" s="24" customFormat="1" ht="12.95" customHeight="1" thickTop="1"/>
    <row r="3" spans="1:8" s="24" customFormat="1" ht="12.95" customHeight="1">
      <c r="B3" s="132" t="str">
        <f>Tags!B30</f>
        <v>Total Items</v>
      </c>
      <c r="C3" s="123">
        <v>11</v>
      </c>
      <c r="E3" s="132" t="str">
        <f>Tags!B34</f>
        <v>Score</v>
      </c>
      <c r="F3" s="133">
        <f>E32</f>
        <v>0</v>
      </c>
      <c r="G3" s="44"/>
      <c r="H3" s="440" t="str">
        <f>Evaluation!M13</f>
        <v>Incomplete</v>
      </c>
    </row>
    <row r="4" spans="1:8" s="24" customFormat="1" ht="12.95" customHeight="1">
      <c r="B4" s="132" t="str">
        <f>Tags!B31</f>
        <v>Total Items + SubItems</v>
      </c>
      <c r="C4" s="123">
        <v>18</v>
      </c>
      <c r="E4" s="132" t="str">
        <f>Tags!B35</f>
        <v>Maximum Score</v>
      </c>
      <c r="F4" s="133">
        <f>D32</f>
        <v>31</v>
      </c>
      <c r="G4" s="44"/>
      <c r="H4" s="441"/>
    </row>
    <row r="5" spans="1:8" s="24" customFormat="1" ht="12.95" customHeight="1">
      <c r="B5" s="132" t="str">
        <f>Tags!B32</f>
        <v>Itens Completed</v>
      </c>
      <c r="C5" s="133">
        <f>COUNTA(C10:C12,C14:C20,C22:C23,C25:C28,C30:C31)</f>
        <v>0</v>
      </c>
      <c r="E5" s="132" t="str">
        <f>Tags!B36</f>
        <v>Percentage</v>
      </c>
      <c r="F5" s="134">
        <f>F3/F4</f>
        <v>0</v>
      </c>
      <c r="G5" s="135"/>
      <c r="H5" s="441"/>
    </row>
    <row r="6" spans="1:8" s="24" customFormat="1" ht="12.95" customHeight="1">
      <c r="B6" s="132" t="str">
        <f>Tags!B33</f>
        <v>Not measured</v>
      </c>
      <c r="C6" s="133">
        <f>C4-C5</f>
        <v>18</v>
      </c>
      <c r="E6" s="132" t="str">
        <f>Tags!B37</f>
        <v>Category Value</v>
      </c>
      <c r="F6" s="133">
        <f>VLOOKUP(A1,Evaluation!$A$7:$M$15,11)</f>
        <v>8</v>
      </c>
      <c r="G6" s="44"/>
      <c r="H6" s="442"/>
    </row>
    <row r="7" spans="1:8" s="24" customFormat="1" ht="12.95" customHeight="1"/>
    <row r="8" spans="1:8" ht="51.95" customHeight="1">
      <c r="A8" s="18">
        <v>8</v>
      </c>
      <c r="B8" s="17" t="str">
        <f>Tags!B55</f>
        <v>Item List</v>
      </c>
      <c r="C8" s="89" t="str">
        <f>Tags!B56</f>
        <v>Measured value</v>
      </c>
      <c r="D8" s="8" t="str">
        <f>E4</f>
        <v>Maximum Score</v>
      </c>
      <c r="E8" s="8" t="str">
        <f>E3</f>
        <v>Score</v>
      </c>
      <c r="F8" s="8" t="str">
        <f>Tags!D57</f>
        <v>Maximum Contribuition for Final Score</v>
      </c>
      <c r="G8" s="8" t="str">
        <f>Tags!D58</f>
        <v>Contribuition for Final Score</v>
      </c>
      <c r="H8" s="8" t="str">
        <f>Tags!D59</f>
        <v>Remarks</v>
      </c>
    </row>
    <row r="9" spans="1:8" ht="24.95" customHeight="1">
      <c r="A9" s="455" t="s">
        <v>59</v>
      </c>
      <c r="B9" s="140" t="str">
        <f>Languages!B160</f>
        <v>Identification of vacant parking spaces</v>
      </c>
      <c r="C9" s="157"/>
      <c r="D9" s="449">
        <v>5</v>
      </c>
      <c r="E9" s="16" t="str">
        <f>IF(ISERROR(E10+E11+E12),"NA",SUM(E10:E12))</f>
        <v>NA</v>
      </c>
      <c r="F9" s="511">
        <f>D9/$F$4*$F$6</f>
        <v>1.2903225806451613</v>
      </c>
      <c r="G9" s="512">
        <f>IF(ISNUMBER(E9),E9/$F$4*$F$6,0)</f>
        <v>0</v>
      </c>
      <c r="H9" s="460"/>
    </row>
    <row r="10" spans="1:8" ht="24.95" customHeight="1">
      <c r="A10" s="456"/>
      <c r="B10" s="150" t="str">
        <f>Languages!B161</f>
        <v>Parking floor level (yes/good = 2, no/bad = 0)</v>
      </c>
      <c r="C10" s="102"/>
      <c r="D10" s="459"/>
      <c r="E10" s="27" t="str">
        <f>IF(C10=Options!B136,2,IF(C10=Options!B137,0,"NA"))</f>
        <v>NA</v>
      </c>
      <c r="F10" s="487"/>
      <c r="G10" s="513"/>
      <c r="H10" s="461"/>
    </row>
    <row r="11" spans="1:8" ht="24.95" customHeight="1">
      <c r="A11" s="456"/>
      <c r="B11" s="150" t="str">
        <f>Languages!B162</f>
        <v>Parking row (yes/good = 1, no/bad = 0)</v>
      </c>
      <c r="C11" s="97"/>
      <c r="D11" s="459"/>
      <c r="E11" s="27" t="str">
        <f>IF(C11=Options!B136,1,IF(C11=Options!B137,0,"NA"))</f>
        <v>NA</v>
      </c>
      <c r="F11" s="487"/>
      <c r="G11" s="513"/>
      <c r="H11" s="461"/>
    </row>
    <row r="12" spans="1:8" ht="24.95" customHeight="1">
      <c r="A12" s="457"/>
      <c r="B12" s="150" t="str">
        <f>Languages!B163</f>
        <v>Individual stall indication (yes/good = 2, no/bad = 0)</v>
      </c>
      <c r="C12" s="97"/>
      <c r="D12" s="450"/>
      <c r="E12" s="27" t="str">
        <f>IF(C12=Options!B136,2,IF(C12=Options!B137,0,"NA"))</f>
        <v>NA</v>
      </c>
      <c r="F12" s="488"/>
      <c r="G12" s="514"/>
      <c r="H12" s="462"/>
    </row>
    <row r="13" spans="1:8" s="24" customFormat="1" ht="24" customHeight="1">
      <c r="A13" s="469" t="s">
        <v>60</v>
      </c>
      <c r="B13" s="166" t="str">
        <f>Languages!B164</f>
        <v>Way finding (vehicles)</v>
      </c>
      <c r="C13" s="22"/>
      <c r="D13" s="502">
        <v>6</v>
      </c>
      <c r="E13" s="30" t="str">
        <f>IF(ISERROR(E14+E15),"NA",SUM(E14:E15))</f>
        <v>NA</v>
      </c>
      <c r="F13" s="505">
        <f>D13/$F$4*$F$6</f>
        <v>1.5483870967741935</v>
      </c>
      <c r="G13" s="515">
        <f>IF(ISNUMBER(E13),E13/$F$4*$F$6,0)</f>
        <v>0</v>
      </c>
      <c r="H13" s="466"/>
    </row>
    <row r="14" spans="1:8" s="24" customFormat="1" ht="36" customHeight="1">
      <c r="A14" s="470"/>
      <c r="B14" s="167" t="str">
        <f>Languages!B165</f>
        <v>Are floors clearly and separately identified for drivers? (Good =3, Adequate =2, Poor =1, No =0)</v>
      </c>
      <c r="C14" s="105"/>
      <c r="D14" s="503"/>
      <c r="E14" s="27" t="str">
        <f>IF(C14=Options!B139,3,IF(C14=Options!B140,2,IF(C14=Options!B141,1,IF(C14=Options!B142,0,"NA"))))</f>
        <v>NA</v>
      </c>
      <c r="F14" s="506"/>
      <c r="G14" s="464"/>
      <c r="H14" s="467"/>
    </row>
    <row r="15" spans="1:8" s="24" customFormat="1" ht="36" customHeight="1">
      <c r="A15" s="471"/>
      <c r="B15" s="167" t="str">
        <f>Languages!B166</f>
        <v>Are sub-areas of floors clearly identified for drivers? (Good =3, Adequate =2, Poor =1, No =0)</v>
      </c>
      <c r="C15" s="105"/>
      <c r="D15" s="504"/>
      <c r="E15" s="27" t="str">
        <f>IF(C15=Options!B139,3,IF(C15=Options!B140,2,IF(C15=Options!B141,1,IF(C15=Options!B142,0,"NA"))))</f>
        <v>NA</v>
      </c>
      <c r="F15" s="507"/>
      <c r="G15" s="516"/>
      <c r="H15" s="468"/>
    </row>
    <row r="16" spans="1:8" s="24" customFormat="1" ht="75" customHeight="1">
      <c r="A16" s="164" t="s">
        <v>61</v>
      </c>
      <c r="B16" s="165" t="str">
        <f>Languages!B167</f>
        <v>Are fire escapes and escape routes clearly marked
• Clear from all locations = 3
• most locations= 2
• some locations=1
• No marking of escape routes=0)</v>
      </c>
      <c r="C16" s="100"/>
      <c r="D16" s="23">
        <v>3</v>
      </c>
      <c r="E16" s="36" t="str">
        <f>IF(C16=Options!B144,3,IF(C16=Options!B145,2,IF(C16=Options!B146,1,IF(C16=Options!B147,0,"NA"))))</f>
        <v>NA</v>
      </c>
      <c r="F16" s="65">
        <f>D16/$F$4*$F$6</f>
        <v>0.77419354838709675</v>
      </c>
      <c r="G16" s="65">
        <f t="shared" ref="G16:G21" si="0">IF(ISNUMBER(E16),E16/$F$4*$F$6,0)</f>
        <v>0</v>
      </c>
      <c r="H16" s="169"/>
    </row>
    <row r="17" spans="1:8" s="24" customFormat="1" ht="36" customHeight="1">
      <c r="A17" s="164" t="s">
        <v>94</v>
      </c>
      <c r="B17" s="165" t="str">
        <f>Languages!B168</f>
        <v>Are floor levels clearly marked?
(good =3, adequate=2, poor=1, none =0. Single level car parks = 3)</v>
      </c>
      <c r="C17" s="100"/>
      <c r="D17" s="23">
        <v>3</v>
      </c>
      <c r="E17" s="36" t="str">
        <f>IF(C17=Options!B153,3,IF(C17=Options!B149,3,IF(C17=Options!B150,2,IF(C17=Options!B151,1,IF(C17=Options!B152,0,"NA")))))</f>
        <v>NA</v>
      </c>
      <c r="F17" s="65">
        <f t="shared" ref="F17:F20" si="1">D17/$F$4*$F$6</f>
        <v>0.77419354838709675</v>
      </c>
      <c r="G17" s="65">
        <f t="shared" si="0"/>
        <v>0</v>
      </c>
      <c r="H17" s="169"/>
    </row>
    <row r="18" spans="1:8" s="24" customFormat="1" ht="48.95" customHeight="1">
      <c r="A18" s="164" t="s">
        <v>95</v>
      </c>
      <c r="B18" s="165" t="str">
        <f>Languages!B169</f>
        <v>Is there additional signing or prompts to orient the pedestrian on the parking deck
(good =2, some =1, none = 0)</v>
      </c>
      <c r="C18" s="100"/>
      <c r="D18" s="23">
        <v>2</v>
      </c>
      <c r="E18" s="36" t="str">
        <f>IF(C18=Options!B155,2,IF(C18=Options!B156,1,IF(C18=Options!B157,0,"NA")))</f>
        <v>NA</v>
      </c>
      <c r="F18" s="65">
        <f t="shared" si="1"/>
        <v>0.5161290322580645</v>
      </c>
      <c r="G18" s="65">
        <f t="shared" si="0"/>
        <v>0</v>
      </c>
      <c r="H18" s="169"/>
    </row>
    <row r="19" spans="1:8" s="24" customFormat="1" ht="36" customHeight="1">
      <c r="A19" s="164" t="s">
        <v>96</v>
      </c>
      <c r="B19" s="165" t="str">
        <f>Languages!B170</f>
        <v>Are parking spaces individually numbered
(Numbered including floor identification =2, Just numbers =1, none =0)</v>
      </c>
      <c r="C19" s="100"/>
      <c r="D19" s="23">
        <v>2</v>
      </c>
      <c r="E19" s="36" t="str">
        <f>IF(C19=Options!B159,2,IF(C19=Options!B160,1,IF(C19=Options!B161,0,"NA")))</f>
        <v>NA</v>
      </c>
      <c r="F19" s="65">
        <f t="shared" si="1"/>
        <v>0.5161290322580645</v>
      </c>
      <c r="G19" s="65">
        <f t="shared" si="0"/>
        <v>0</v>
      </c>
      <c r="H19" s="169"/>
    </row>
    <row r="20" spans="1:8" s="24" customFormat="1" ht="36" customHeight="1">
      <c r="A20" s="164" t="s">
        <v>97</v>
      </c>
      <c r="B20" s="165" t="str">
        <f>Languages!B171</f>
        <v>Use of colours for  way finding
(Yes= 1, No= 0)</v>
      </c>
      <c r="C20" s="100"/>
      <c r="D20" s="23">
        <v>1</v>
      </c>
      <c r="E20" s="36" t="str">
        <f>IF(C20=yes,1,IF(C20=no,0,"NA"))</f>
        <v>NA</v>
      </c>
      <c r="F20" s="65">
        <f t="shared" si="1"/>
        <v>0.25806451612903225</v>
      </c>
      <c r="G20" s="65">
        <f t="shared" si="0"/>
        <v>0</v>
      </c>
      <c r="H20" s="169"/>
    </row>
    <row r="21" spans="1:8" s="24" customFormat="1" ht="24" customHeight="1">
      <c r="A21" s="469" t="s">
        <v>98</v>
      </c>
      <c r="B21" s="166" t="str">
        <f>Languages!B172</f>
        <v>Guidance sign posting for cars on roads to car park</v>
      </c>
      <c r="C21" s="22"/>
      <c r="D21" s="502">
        <v>2</v>
      </c>
      <c r="E21" s="30" t="str">
        <f>IF(ISERROR(E22+E23),"NA",SUM(E22:E23))</f>
        <v>NA</v>
      </c>
      <c r="F21" s="505">
        <f>D21/$F$4*$F$6</f>
        <v>0.5161290322580645</v>
      </c>
      <c r="G21" s="515">
        <f t="shared" si="0"/>
        <v>0</v>
      </c>
      <c r="H21" s="466"/>
    </row>
    <row r="22" spans="1:8" s="24" customFormat="1" ht="24" customHeight="1">
      <c r="A22" s="470"/>
      <c r="B22" s="167" t="str">
        <f>Languages!B173</f>
        <v>Static sign system only (Yes = 1, No = 0)</v>
      </c>
      <c r="C22" s="105"/>
      <c r="D22" s="503"/>
      <c r="E22" s="27" t="str">
        <f>IF(C22=yes,1,IF(C22=no,0,"NA"))</f>
        <v>NA</v>
      </c>
      <c r="F22" s="506"/>
      <c r="G22" s="464"/>
      <c r="H22" s="467"/>
    </row>
    <row r="23" spans="1:8" s="24" customFormat="1" ht="24" customHeight="1">
      <c r="A23" s="471"/>
      <c r="B23" s="167" t="str">
        <f>Languages!B174</f>
        <v>Dynamic sign system additionally (Yes = 1, No = 0)</v>
      </c>
      <c r="C23" s="105"/>
      <c r="D23" s="504"/>
      <c r="E23" s="27" t="str">
        <f>IF(C23=yes,1,IF(C23=no,0,"NA"))</f>
        <v>NA</v>
      </c>
      <c r="F23" s="507"/>
      <c r="G23" s="516"/>
      <c r="H23" s="468"/>
    </row>
    <row r="24" spans="1:8" ht="24.95" customHeight="1">
      <c r="A24" s="455" t="s">
        <v>515</v>
      </c>
      <c r="B24" s="140" t="str">
        <f>Languages!B175</f>
        <v>Illuminated signage at car park entrance</v>
      </c>
      <c r="C24" s="157"/>
      <c r="D24" s="449">
        <v>3</v>
      </c>
      <c r="E24" s="16" t="str">
        <f>IF(ISERROR(E25+E26+E27),"NA",SUM(E25:E27))</f>
        <v>NA</v>
      </c>
      <c r="F24" s="511">
        <f>D24/$F$4*$F$6</f>
        <v>0.77419354838709675</v>
      </c>
      <c r="G24" s="512">
        <f>IF(ISNUMBER(E24),E24/$F$4*$F$6,0)</f>
        <v>0</v>
      </c>
      <c r="H24" s="460"/>
    </row>
    <row r="25" spans="1:8" ht="24.95" customHeight="1">
      <c r="A25" s="456"/>
      <c r="B25" s="150" t="str">
        <f>Languages!B176</f>
        <v>Signal green arrow, red cross for direction (Yes = 1, No = 0)</v>
      </c>
      <c r="C25" s="102"/>
      <c r="D25" s="459"/>
      <c r="E25" s="27" t="str">
        <f>IF(C25=yes,1,IF(C25=no,0,"NA"))</f>
        <v>NA</v>
      </c>
      <c r="F25" s="487"/>
      <c r="G25" s="513"/>
      <c r="H25" s="461"/>
    </row>
    <row r="26" spans="1:8" ht="24.95" customHeight="1">
      <c r="A26" s="456"/>
      <c r="B26" s="150" t="str">
        <f>Languages!B177</f>
        <v>Signal full/free (Yes = 1, No = 0)</v>
      </c>
      <c r="C26" s="97"/>
      <c r="D26" s="459"/>
      <c r="E26" s="27" t="str">
        <f>IF(C26=yes,1,IF(C26=no,0,"NA"))</f>
        <v>NA</v>
      </c>
      <c r="F26" s="487"/>
      <c r="G26" s="513"/>
      <c r="H26" s="461"/>
    </row>
    <row r="27" spans="1:8" ht="24.95" customHeight="1">
      <c r="A27" s="457"/>
      <c r="B27" s="150" t="str">
        <f>Languages!B178</f>
        <v>Signage at pedestrian entrance (Yes = 1, No = 0)</v>
      </c>
      <c r="C27" s="97"/>
      <c r="D27" s="450"/>
      <c r="E27" s="27" t="str">
        <f>IF(C27=yes,1,IF(C27=no,0,"NA"))</f>
        <v>NA</v>
      </c>
      <c r="F27" s="488"/>
      <c r="G27" s="514"/>
      <c r="H27" s="462"/>
    </row>
    <row r="28" spans="1:8" s="24" customFormat="1" ht="36" customHeight="1">
      <c r="A28" s="164" t="s">
        <v>1806</v>
      </c>
      <c r="B28" s="165" t="str">
        <f>Languages!B111</f>
        <v>City plan a central location in car park:
(On Every pedestrian exit = 2, One location = 1, No = 0)</v>
      </c>
      <c r="C28" s="100"/>
      <c r="D28" s="23">
        <v>2</v>
      </c>
      <c r="E28" s="32" t="str">
        <f>IF(C28=Options!B82,2,IF(C28=Options!B83,1,IF(C28=Options!B84,0,"NA")))</f>
        <v>NA</v>
      </c>
      <c r="F28" s="65">
        <f>D28/$F$4*$F$6</f>
        <v>0.5161290322580645</v>
      </c>
      <c r="G28" s="65">
        <f t="shared" ref="G28" si="2">IF(ISNUMBER(E28),E28/$F$4*$F$6,0)</f>
        <v>0</v>
      </c>
      <c r="H28" s="163"/>
    </row>
    <row r="29" spans="1:8" s="24" customFormat="1" ht="24" customHeight="1">
      <c r="A29" s="469" t="s">
        <v>1807</v>
      </c>
      <c r="B29" s="166" t="str">
        <f>Languages!B112</f>
        <v>Guidance:</v>
      </c>
      <c r="C29" s="22"/>
      <c r="D29" s="474">
        <v>2</v>
      </c>
      <c r="E29" s="16" t="str">
        <f>IF(ISERROR(E30+E31),"NA",SUM(E30:E31))</f>
        <v>NA</v>
      </c>
      <c r="F29" s="486">
        <f>D28/$F$4*$F$6</f>
        <v>0.5161290322580645</v>
      </c>
      <c r="G29" s="489">
        <f>IF(ISNUMBER(E29),E29/$F$4*$F$6,0)</f>
        <v>0</v>
      </c>
      <c r="H29" s="492"/>
    </row>
    <row r="30" spans="1:8" s="24" customFormat="1" ht="24" customHeight="1">
      <c r="A30" s="470"/>
      <c r="B30" s="167" t="str">
        <f>Languages!B113</f>
        <v>to key attractions around the car park at pedestrian exit (Yes=1, No=0):</v>
      </c>
      <c r="C30" s="105"/>
      <c r="D30" s="475"/>
      <c r="E30" s="27" t="str">
        <f>IF(C30=yes,1,IF(C30=no,0,"NA"))</f>
        <v>NA</v>
      </c>
      <c r="F30" s="487"/>
      <c r="G30" s="490"/>
      <c r="H30" s="493"/>
    </row>
    <row r="31" spans="1:8" s="24" customFormat="1" ht="24" customHeight="1">
      <c r="A31" s="471"/>
      <c r="B31" s="171" t="str">
        <f>Languages!B114</f>
        <v>around the car park to pedestrian entrances (Yes=1, No=0):</v>
      </c>
      <c r="C31" s="105"/>
      <c r="D31" s="476"/>
      <c r="E31" s="27" t="str">
        <f>IF(C31=yes,1,IF(C31=no,0,"NA"))</f>
        <v>NA</v>
      </c>
      <c r="F31" s="488"/>
      <c r="G31" s="491"/>
      <c r="H31" s="494"/>
    </row>
    <row r="32" spans="1:8" ht="24.95" customHeight="1">
      <c r="A32" s="125"/>
      <c r="B32" s="143" t="str">
        <f>CONCATENATE(Tags!$B$50," ",$B$1)</f>
        <v>Subtotals Wayfinding Inside and Outside</v>
      </c>
      <c r="C32" s="174"/>
      <c r="D32" s="2">
        <f>SUM(D9:D31)</f>
        <v>31</v>
      </c>
      <c r="E32" s="25">
        <f>SUM(E24,E16:E21,E13,E9,E28,E29)</f>
        <v>0</v>
      </c>
      <c r="F32" s="9">
        <f>SUM(F9:F31)</f>
        <v>8</v>
      </c>
      <c r="G32" s="61">
        <f>SUM(G9:G31)</f>
        <v>0</v>
      </c>
      <c r="H32" s="173"/>
    </row>
    <row r="33" spans="1:1"/>
    <row r="34" spans="1:1" ht="15">
      <c r="A34" s="175" t="str">
        <f>Tags!B60</f>
        <v>Notes</v>
      </c>
    </row>
    <row r="35" spans="1:1"/>
    <row r="36" spans="1:1"/>
    <row r="37" spans="1:1"/>
    <row r="38" spans="1:1"/>
    <row r="39" spans="1:1"/>
    <row r="40" spans="1:1"/>
    <row r="41" spans="1:1"/>
    <row r="42" spans="1:1"/>
    <row r="43" spans="1:1"/>
    <row r="44" spans="1:1"/>
    <row r="45" spans="1:1"/>
    <row r="46" spans="1:1"/>
    <row r="47" spans="1:1"/>
    <row r="48" spans="1:1"/>
    <row r="49"/>
    <row r="50"/>
    <row r="51"/>
    <row r="52"/>
  </sheetData>
  <sheetProtection algorithmName="SHA-512" hashValue="ajBGJYgGTZC+M8xfjdUILGfWaHjOZDgxPFGMvnwnO6qLTbBDxpxQGRRiGrzvspVeVU+PdPiIRoKmGKaDqRdtIw==" saltValue="Jmcao/3EKbLpU5eJN90coA==" spinCount="100000" sheet="1" objects="1" scenarios="1" formatRows="0" selectLockedCells="1"/>
  <mergeCells count="26">
    <mergeCell ref="A24:A27"/>
    <mergeCell ref="D24:D27"/>
    <mergeCell ref="F24:F27"/>
    <mergeCell ref="G24:G27"/>
    <mergeCell ref="H24:H27"/>
    <mergeCell ref="A13:A15"/>
    <mergeCell ref="D13:D15"/>
    <mergeCell ref="F13:F15"/>
    <mergeCell ref="G13:G15"/>
    <mergeCell ref="H13:H15"/>
    <mergeCell ref="A21:A23"/>
    <mergeCell ref="D21:D23"/>
    <mergeCell ref="F21:F23"/>
    <mergeCell ref="G21:G23"/>
    <mergeCell ref="H21:H23"/>
    <mergeCell ref="H3:H6"/>
    <mergeCell ref="A9:A12"/>
    <mergeCell ref="D9:D12"/>
    <mergeCell ref="F9:F12"/>
    <mergeCell ref="G9:G12"/>
    <mergeCell ref="H9:H12"/>
    <mergeCell ref="A29:A31"/>
    <mergeCell ref="D29:D31"/>
    <mergeCell ref="F29:F31"/>
    <mergeCell ref="G29:G31"/>
    <mergeCell ref="H29:H31"/>
  </mergeCells>
  <phoneticPr fontId="24" type="noConversion"/>
  <conditionalFormatting sqref="C16:C20">
    <cfRule type="expression" dxfId="56" priority="27">
      <formula>($C$13="Yes")</formula>
    </cfRule>
  </conditionalFormatting>
  <conditionalFormatting sqref="C9:C12">
    <cfRule type="expression" dxfId="55" priority="23">
      <formula>($C$9="Yes")</formula>
    </cfRule>
  </conditionalFormatting>
  <conditionalFormatting sqref="C13">
    <cfRule type="expression" dxfId="54" priority="22">
      <formula>($C$9="Yes")</formula>
    </cfRule>
  </conditionalFormatting>
  <conditionalFormatting sqref="C13">
    <cfRule type="expression" dxfId="53" priority="21">
      <formula>($C$10="Yes")</formula>
    </cfRule>
  </conditionalFormatting>
  <conditionalFormatting sqref="C21">
    <cfRule type="expression" dxfId="52" priority="14">
      <formula>($C$9="Yes")</formula>
    </cfRule>
  </conditionalFormatting>
  <conditionalFormatting sqref="C24:C27">
    <cfRule type="expression" dxfId="51" priority="15">
      <formula>($C$9="Yes")</formula>
    </cfRule>
  </conditionalFormatting>
  <conditionalFormatting sqref="C21">
    <cfRule type="expression" dxfId="50" priority="13">
      <formula>($C$10="Yes")</formula>
    </cfRule>
  </conditionalFormatting>
  <conditionalFormatting sqref="H3:H6">
    <cfRule type="expression" dxfId="49" priority="1">
      <formula>$G$3="Fail"</formula>
    </cfRule>
    <cfRule type="expression" dxfId="48" priority="2">
      <formula>($G$3="Pass")</formula>
    </cfRule>
  </conditionalFormatting>
  <dataValidations count="1">
    <dataValidation type="list" allowBlank="1" showInputMessage="1" showErrorMessage="1" sqref="C20 C22:C23 C25:C27 C30:C31">
      <formula1>YesNo</formula1>
    </dataValidation>
  </dataValidations>
  <printOptions horizontalCentered="1"/>
  <pageMargins left="0.71" right="0.71" top="0.75000000000000011" bottom="0.75000000000000011" header="0.31" footer="0.31"/>
  <pageSetup paperSize="9" scale="46" orientation="portrait" horizontalDpi="300" verticalDpi="300"/>
  <headerFooter>
    <oddHeader>&amp;L&amp;"Calibri,Bold"&amp;K000000EPA - Checklist for the European Standard Parking Award</oddHeader>
    <oddFooter>&amp;L&amp;K000000[File]&amp;A</oddFooter>
  </headerFooter>
  <drawing r:id="rId1"/>
  <extLst>
    <ext xmlns:x14="http://schemas.microsoft.com/office/spreadsheetml/2009/9/main" uri="{78C0D931-6437-407d-A8EE-F0AAD7539E65}">
      <x14:conditionalFormattings>
        <x14:conditionalFormatting xmlns:xm="http://schemas.microsoft.com/office/excel/2006/main">
          <x14:cfRule type="expression" priority="6" id="{9586F65C-89D6-EE43-8C7E-F736DF6ED871}">
            <xm:f>$D$1=Tags!$B$21</xm:f>
            <x14:dxf>
              <font>
                <color rgb="FF9C0006"/>
              </font>
            </x14:dxf>
          </x14:cfRule>
          <xm:sqref>D1</xm:sqref>
        </x14:conditionalFormatting>
        <x14:conditionalFormatting xmlns:xm="http://schemas.microsoft.com/office/excel/2006/main">
          <x14:cfRule type="expression" priority="5" id="{1D38979C-2DC9-DF4F-A249-4CE1B213782D}">
            <xm:f>$D$1=Tags!$B$21</xm:f>
            <x14:dxf>
              <font>
                <color rgb="FF9C0006"/>
              </font>
            </x14:dxf>
          </x14:cfRule>
          <xm:sqref>E1</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Options!$B$136:$B$137</xm:f>
          </x14:formula1>
          <xm:sqref>C10:C12</xm:sqref>
        </x14:dataValidation>
        <x14:dataValidation type="list" allowBlank="1" showInputMessage="1" showErrorMessage="1">
          <x14:formula1>
            <xm:f>Options!$B$139:$B$142</xm:f>
          </x14:formula1>
          <xm:sqref>C14:C15</xm:sqref>
        </x14:dataValidation>
        <x14:dataValidation type="list" allowBlank="1" showInputMessage="1" showErrorMessage="1">
          <x14:formula1>
            <xm:f>Options!$B$144:$B$147</xm:f>
          </x14:formula1>
          <xm:sqref>C16</xm:sqref>
        </x14:dataValidation>
        <x14:dataValidation type="list" allowBlank="1" showInputMessage="1" showErrorMessage="1">
          <x14:formula1>
            <xm:f>Options!$B$155:$B$157</xm:f>
          </x14:formula1>
          <xm:sqref>C18</xm:sqref>
        </x14:dataValidation>
        <x14:dataValidation type="list" allowBlank="1" showInputMessage="1" showErrorMessage="1">
          <x14:formula1>
            <xm:f>Options!$B$159:$B$161</xm:f>
          </x14:formula1>
          <xm:sqref>C19</xm:sqref>
        </x14:dataValidation>
        <x14:dataValidation type="list" allowBlank="1" showInputMessage="1" showErrorMessage="1">
          <x14:formula1>
            <xm:f>Options!$B$82:$B$84</xm:f>
          </x14:formula1>
          <xm:sqref>C28</xm:sqref>
        </x14:dataValidation>
        <x14:dataValidation type="list" allowBlank="1" showInputMessage="1" showErrorMessage="1">
          <x14:formula1>
            <xm:f>Options!$B$149:$B$153</xm:f>
          </x14:formula1>
          <xm:sqref>C17</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I63"/>
  <sheetViews>
    <sheetView showGridLines="0" workbookViewId="0">
      <pane ySplit="8" topLeftCell="A17" activePane="bottomLeft" state="frozenSplit"/>
      <selection activeCell="C11" sqref="C11:E11"/>
      <selection pane="bottomLeft" activeCell="C24" sqref="C24"/>
    </sheetView>
  </sheetViews>
  <sheetFormatPr baseColWidth="10" defaultColWidth="0" defaultRowHeight="14.25" zeroHeight="1"/>
  <cols>
    <col min="1" max="1" width="4.86328125" style="6" customWidth="1"/>
    <col min="2" max="2" width="58" style="6" customWidth="1"/>
    <col min="3" max="3" width="15.265625" style="6" customWidth="1"/>
    <col min="4" max="5" width="11" style="6" customWidth="1"/>
    <col min="6" max="6" width="15.86328125" style="6" customWidth="1"/>
    <col min="7" max="7" width="12.3984375" style="6" customWidth="1"/>
    <col min="8" max="8" width="48.3984375" style="6" customWidth="1"/>
    <col min="9" max="9" width="0.3984375" style="6" customWidth="1"/>
    <col min="10" max="16384" width="8.86328125" style="6" hidden="1"/>
  </cols>
  <sheetData>
    <row r="1" spans="1:8" s="24" customFormat="1" ht="27.95" customHeight="1" thickTop="1" thickBot="1">
      <c r="A1" s="126">
        <v>9</v>
      </c>
      <c r="B1" s="127" t="str">
        <f>Languages!B179</f>
        <v>Comfort and Miscellaneous</v>
      </c>
      <c r="C1" s="63"/>
      <c r="D1" s="64"/>
      <c r="E1" s="128" t="str">
        <f>IF(C6&gt;0,Tags!B21,Tags!B20)</f>
        <v>Incompleted</v>
      </c>
      <c r="F1" s="129" t="s">
        <v>485</v>
      </c>
      <c r="G1" s="130">
        <f>F5*F6</f>
        <v>0</v>
      </c>
      <c r="H1" s="131">
        <f>F5</f>
        <v>0</v>
      </c>
    </row>
    <row r="2" spans="1:8" s="24" customFormat="1" ht="12.95" customHeight="1" thickTop="1"/>
    <row r="3" spans="1:8" s="24" customFormat="1" ht="12.95" customHeight="1">
      <c r="B3" s="132" t="str">
        <f>Tags!B30</f>
        <v>Total Items</v>
      </c>
      <c r="C3" s="123">
        <v>10</v>
      </c>
      <c r="E3" s="132" t="str">
        <f>Tags!B34</f>
        <v>Score</v>
      </c>
      <c r="F3" s="133">
        <f>E43</f>
        <v>0</v>
      </c>
      <c r="G3" s="44"/>
      <c r="H3" s="440" t="str">
        <f>Evaluation!M14</f>
        <v>Incomplete</v>
      </c>
    </row>
    <row r="4" spans="1:8" s="24" customFormat="1" ht="12.95" customHeight="1">
      <c r="B4" s="132" t="str">
        <f>Tags!B31</f>
        <v>Total Items + SubItems</v>
      </c>
      <c r="C4" s="123">
        <f>27-IF(C27=no,3,0)-IF(C41=no,1,0)</f>
        <v>27</v>
      </c>
      <c r="E4" s="132" t="str">
        <f>Tags!B35</f>
        <v>Maximum Score</v>
      </c>
      <c r="F4" s="133">
        <f>D43</f>
        <v>34</v>
      </c>
      <c r="G4" s="44"/>
      <c r="H4" s="441"/>
    </row>
    <row r="5" spans="1:8" s="24" customFormat="1" ht="12.95" customHeight="1">
      <c r="B5" s="132" t="str">
        <f>Tags!B32</f>
        <v>Itens Completed</v>
      </c>
      <c r="C5" s="133">
        <f>COUNTA(C10:C12,C14:C23,C32:C33,C35:C39)+IF(C23=yes,COUNTA(C25),COUNTA(C24))+IF(C27=yes,COUNTA(C27:C30),COUNTA(C27))+IF(C41=no,COUNTA(C41),COUNTA(C41:C42))</f>
        <v>0</v>
      </c>
      <c r="E5" s="132" t="str">
        <f>Tags!B36</f>
        <v>Percentage</v>
      </c>
      <c r="F5" s="134">
        <f>F3/F4</f>
        <v>0</v>
      </c>
      <c r="G5" s="135"/>
      <c r="H5" s="441"/>
    </row>
    <row r="6" spans="1:8" s="24" customFormat="1" ht="12.95" customHeight="1">
      <c r="B6" s="132" t="str">
        <f>Tags!B33</f>
        <v>Not measured</v>
      </c>
      <c r="C6" s="133">
        <f>C4-C5</f>
        <v>27</v>
      </c>
      <c r="E6" s="132" t="str">
        <f>Tags!B37</f>
        <v>Category Value</v>
      </c>
      <c r="F6" s="133">
        <f>VLOOKUP(A1,Evaluation!$A$7:$M$15,11)</f>
        <v>8</v>
      </c>
      <c r="G6" s="44"/>
      <c r="H6" s="442"/>
    </row>
    <row r="7" spans="1:8" s="24" customFormat="1" ht="12.95" customHeight="1"/>
    <row r="8" spans="1:8" ht="51.95" customHeight="1">
      <c r="A8" s="18">
        <v>9</v>
      </c>
      <c r="B8" s="17" t="str">
        <f>Tags!B55</f>
        <v>Item List</v>
      </c>
      <c r="C8" s="89" t="str">
        <f>Tags!B56</f>
        <v>Measured value</v>
      </c>
      <c r="D8" s="8" t="str">
        <f>E4</f>
        <v>Maximum Score</v>
      </c>
      <c r="E8" s="8" t="str">
        <f>E3</f>
        <v>Score</v>
      </c>
      <c r="F8" s="8" t="str">
        <f>Tags!D57</f>
        <v>Maximum Contribuition for Final Score</v>
      </c>
      <c r="G8" s="8" t="str">
        <f>Tags!D58</f>
        <v>Contribuition for Final Score</v>
      </c>
      <c r="H8" s="8" t="str">
        <f>Tags!D59</f>
        <v>Remarks</v>
      </c>
    </row>
    <row r="9" spans="1:8" ht="24.95" customHeight="1">
      <c r="A9" s="455" t="s">
        <v>62</v>
      </c>
      <c r="B9" s="140" t="str">
        <f>Languages!B180</f>
        <v>Notice-board at pedestrian entrance/exit showing:</v>
      </c>
      <c r="C9" s="157"/>
      <c r="D9" s="449">
        <v>3</v>
      </c>
      <c r="E9" s="16">
        <f>IF(ISERROR(SUM(E10:E12)),"NA",SUM(E10:E12))</f>
        <v>0</v>
      </c>
      <c r="F9" s="511">
        <f>D9/$F$4*$F$6</f>
        <v>0.70588235294117652</v>
      </c>
      <c r="G9" s="512">
        <f>IF(ISNUMBER(E9),E9/$F$4*$F$6,0)</f>
        <v>0</v>
      </c>
      <c r="H9" s="460"/>
    </row>
    <row r="10" spans="1:8" ht="24.95" customHeight="1">
      <c r="A10" s="456"/>
      <c r="B10" s="150" t="str">
        <f>Languages!B181</f>
        <v>Access hours normal/special (yes = 1, no = 0)</v>
      </c>
      <c r="C10" s="102"/>
      <c r="D10" s="459"/>
      <c r="E10" s="27" t="str">
        <f>IF(C10=yes,1,IF(C10=no,0,"NA"))</f>
        <v>NA</v>
      </c>
      <c r="F10" s="487"/>
      <c r="G10" s="513"/>
      <c r="H10" s="461"/>
    </row>
    <row r="11" spans="1:8" ht="24.95" customHeight="1">
      <c r="A11" s="456"/>
      <c r="B11" s="150" t="str">
        <f>Languages!B182</f>
        <v>Readable &amp; understandable tariff board (yes = 1, no = 0)</v>
      </c>
      <c r="C11" s="97"/>
      <c r="D11" s="459"/>
      <c r="E11" s="27" t="str">
        <f>IF(C11=yes,1,IF(C11=no,0,"NA"))</f>
        <v>NA</v>
      </c>
      <c r="F11" s="487"/>
      <c r="G11" s="513"/>
      <c r="H11" s="461"/>
    </row>
    <row r="12" spans="1:8" ht="24.95" customHeight="1">
      <c r="A12" s="457"/>
      <c r="B12" s="150" t="str">
        <f>Languages!B183</f>
        <v>Operators terms and conditions (yes = 1, no = 0)</v>
      </c>
      <c r="C12" s="97"/>
      <c r="D12" s="450"/>
      <c r="E12" s="27" t="str">
        <f>IF(C12=yes,1,IF(C12=no,0,"NA"))</f>
        <v>NA</v>
      </c>
      <c r="F12" s="488"/>
      <c r="G12" s="514"/>
      <c r="H12" s="462"/>
    </row>
    <row r="13" spans="1:8" ht="24.95" customHeight="1">
      <c r="A13" s="521" t="s">
        <v>63</v>
      </c>
      <c r="B13" s="140" t="str">
        <f>Languages!B184</f>
        <v>Payment options (pay at exit/pay at pay station):</v>
      </c>
      <c r="C13" s="157"/>
      <c r="D13" s="522">
        <v>10</v>
      </c>
      <c r="E13" s="16">
        <f>IF(ISERROR(SUM(E14:E21)),"NA",SUM(E14:E21))</f>
        <v>0</v>
      </c>
      <c r="F13" s="525">
        <f>D13/$F$4*$F$6</f>
        <v>2.3529411764705883</v>
      </c>
      <c r="G13" s="508">
        <f>IF(ISNUMBER(E13),E13/$F$4*$F$6,0)</f>
        <v>0</v>
      </c>
      <c r="H13" s="528"/>
    </row>
    <row r="14" spans="1:8" ht="24.95" customHeight="1">
      <c r="A14" s="496"/>
      <c r="B14" s="150" t="str">
        <f>Languages!B185</f>
        <v>Accepts coins? (yes =1, no =0)</v>
      </c>
      <c r="C14" s="105"/>
      <c r="D14" s="523"/>
      <c r="E14" s="27" t="str">
        <f t="shared" ref="E14:E20" si="0">IF(C14=yes,1,IF(C14=no,0,"NA"))</f>
        <v>NA</v>
      </c>
      <c r="F14" s="526"/>
      <c r="G14" s="509"/>
      <c r="H14" s="467"/>
    </row>
    <row r="15" spans="1:8" ht="24.95" customHeight="1">
      <c r="A15" s="496"/>
      <c r="B15" s="150" t="str">
        <f>Languages!B186</f>
        <v>Change given? (yes =1, no =0)</v>
      </c>
      <c r="C15" s="105"/>
      <c r="D15" s="523"/>
      <c r="E15" s="27" t="str">
        <f t="shared" si="0"/>
        <v>NA</v>
      </c>
      <c r="F15" s="526"/>
      <c r="G15" s="509"/>
      <c r="H15" s="467"/>
    </row>
    <row r="16" spans="1:8" ht="24.95" customHeight="1">
      <c r="A16" s="496"/>
      <c r="B16" s="150" t="str">
        <f>Languages!B187</f>
        <v>Accepts banknotes?  (yes =1, no =0)</v>
      </c>
      <c r="C16" s="105"/>
      <c r="D16" s="523"/>
      <c r="E16" s="27" t="str">
        <f t="shared" si="0"/>
        <v>NA</v>
      </c>
      <c r="F16" s="526"/>
      <c r="G16" s="509"/>
      <c r="H16" s="467"/>
    </row>
    <row r="17" spans="1:8" ht="24.95" customHeight="1">
      <c r="A17" s="496"/>
      <c r="B17" s="150" t="str">
        <f>Languages!B188</f>
        <v>Accepts bank cards?  (yes =1, no =0)</v>
      </c>
      <c r="C17" s="105"/>
      <c r="D17" s="523"/>
      <c r="E17" s="27" t="str">
        <f t="shared" si="0"/>
        <v>NA</v>
      </c>
      <c r="F17" s="526"/>
      <c r="G17" s="509"/>
      <c r="H17" s="467"/>
    </row>
    <row r="18" spans="1:8" ht="24.95" customHeight="1">
      <c r="A18" s="496"/>
      <c r="B18" s="150" t="str">
        <f>Languages!B189</f>
        <v>Payment by smart phone? (yes =1, no =0)</v>
      </c>
      <c r="C18" s="105"/>
      <c r="D18" s="523"/>
      <c r="E18" s="27" t="str">
        <f t="shared" si="0"/>
        <v>NA</v>
      </c>
      <c r="F18" s="526"/>
      <c r="G18" s="509"/>
      <c r="H18" s="467"/>
    </row>
    <row r="19" spans="1:8" ht="24.95" customHeight="1">
      <c r="A19" s="496"/>
      <c r="B19" s="150" t="str">
        <f>Languages!B190</f>
        <v>Payment by card/phone at exit? (yes =1, no =0)</v>
      </c>
      <c r="C19" s="105"/>
      <c r="D19" s="523"/>
      <c r="E19" s="27" t="str">
        <f t="shared" si="0"/>
        <v>NA</v>
      </c>
      <c r="F19" s="526"/>
      <c r="G19" s="509"/>
      <c r="H19" s="467"/>
    </row>
    <row r="20" spans="1:8" ht="24.95" customHeight="1">
      <c r="A20" s="496"/>
      <c r="B20" s="150" t="str">
        <f>Languages!B191</f>
        <v>ID &amp; payment by LPR? (yes =1, no =0)</v>
      </c>
      <c r="C20" s="105"/>
      <c r="D20" s="523"/>
      <c r="E20" s="27" t="str">
        <f t="shared" si="0"/>
        <v>NA</v>
      </c>
      <c r="F20" s="526"/>
      <c r="G20" s="509"/>
      <c r="H20" s="467"/>
    </row>
    <row r="21" spans="1:8" ht="24.95" customHeight="1">
      <c r="A21" s="497"/>
      <c r="B21" s="150" t="str">
        <f>Languages!B192</f>
        <v>Accepts other cards: How many? (1 point per additional option up to 3)</v>
      </c>
      <c r="C21" s="105"/>
      <c r="D21" s="524"/>
      <c r="E21" s="27" t="str">
        <f>IF(C21=Options!B163,0,IF(C21=Options!B164,1,IF(C21=Options!B165,2,IF(C21=Options!B166,3,"NA"))))</f>
        <v>NA</v>
      </c>
      <c r="F21" s="527"/>
      <c r="G21" s="510"/>
      <c r="H21" s="468"/>
    </row>
    <row r="22" spans="1:8" s="24" customFormat="1" ht="24" customHeight="1">
      <c r="A22" s="164" t="s">
        <v>64</v>
      </c>
      <c r="B22" s="165" t="str">
        <f>Languages!B193</f>
        <v>Payment at staffed desk: (yes = 1, no = 0)</v>
      </c>
      <c r="C22" s="100"/>
      <c r="D22" s="23">
        <v>1</v>
      </c>
      <c r="E22" s="23" t="str">
        <f>IF(C22=yes,1,IF(C22=no,0,"NA"))</f>
        <v>NA</v>
      </c>
      <c r="F22" s="66">
        <f>D22/$F$4*$F$6</f>
        <v>0.23529411764705882</v>
      </c>
      <c r="G22" s="67">
        <f>IF(ISNUMBER(E22),E22/$F$4*$F$6,0)</f>
        <v>0</v>
      </c>
      <c r="H22" s="169"/>
    </row>
    <row r="23" spans="1:8" s="24" customFormat="1" ht="24" customHeight="1">
      <c r="A23" s="469" t="s">
        <v>65</v>
      </c>
      <c r="B23" s="166" t="str">
        <f>Languages!B194</f>
        <v>Is this a Pay and Display Car Park?</v>
      </c>
      <c r="C23" s="100"/>
      <c r="D23" s="502">
        <v>3</v>
      </c>
      <c r="E23" s="30" t="str">
        <f>IF(C23=yes,E25,E24)</f>
        <v>NA</v>
      </c>
      <c r="F23" s="529">
        <f>D23/$F$4*$F$6</f>
        <v>0.70588235294117652</v>
      </c>
      <c r="G23" s="508">
        <f>IF(ISNUMBER(E23),E23/$F$4*$F$6,0)</f>
        <v>0</v>
      </c>
      <c r="H23" s="466"/>
    </row>
    <row r="24" spans="1:8" s="24" customFormat="1" ht="62.1" customHeight="1">
      <c r="A24" s="470"/>
      <c r="B24" s="167" t="str">
        <f>Languages!B195</f>
        <v>Number of Pay points for Barrier controlled car parks:
(One pay station = 0,  More than one =1, One at each pedestrian entrance, excluding fire escapes =2, More than one at each pedestrian entrance =3)</v>
      </c>
      <c r="C24" s="105"/>
      <c r="D24" s="503"/>
      <c r="E24" s="27" t="str">
        <f>IF(C23&lt;&gt;yes,IF(C24=Options!B168,0,IF(C24=Options!B169,1,IF(C24=Options!B170,2,IF(Options!B171=C24,3,"NA")))),"NA")</f>
        <v>NA</v>
      </c>
      <c r="F24" s="530"/>
      <c r="G24" s="509"/>
      <c r="H24" s="467"/>
    </row>
    <row r="25" spans="1:8" s="24" customFormat="1" ht="36" customHeight="1">
      <c r="A25" s="471"/>
      <c r="B25" s="167" t="str">
        <f>Languages!B196</f>
        <v>Number of Pay points for Pay and Display Car Parks
(One =0, &lt; 1 for every 50 spaces =2, &gt;1 for every 50 spaces =3)</v>
      </c>
      <c r="C25" s="105"/>
      <c r="D25" s="504"/>
      <c r="E25" s="27" t="str">
        <f>IF(C23=yes,IF(C25=Options!B173,0,IF(C25=Options!B174,1,IF(C25=Options!B175,3,"NA"))),"NA")</f>
        <v>NA</v>
      </c>
      <c r="F25" s="531"/>
      <c r="G25" s="532"/>
      <c r="H25" s="468"/>
    </row>
    <row r="26" spans="1:8" ht="24.95" customHeight="1">
      <c r="A26" s="517" t="s">
        <v>66</v>
      </c>
      <c r="B26" s="140" t="str">
        <f>Languages!B197</f>
        <v>Customer toilets:</v>
      </c>
      <c r="C26" s="157"/>
      <c r="D26" s="449">
        <v>5</v>
      </c>
      <c r="E26" s="16">
        <f>IF(ISERROR(SUM(E27:E30)),"NA",SUM(E27:E30))</f>
        <v>0</v>
      </c>
      <c r="F26" s="477">
        <f>D26/$F$4*$F$6</f>
        <v>1.1764705882352942</v>
      </c>
      <c r="G26" s="477">
        <f>IF(ISNUMBER(E26),E26/$F$4*$F$6,0)</f>
        <v>0</v>
      </c>
      <c r="H26" s="460"/>
    </row>
    <row r="27" spans="1:8" ht="24.95" customHeight="1">
      <c r="A27" s="518"/>
      <c r="B27" s="150" t="str">
        <f>Languages!B198</f>
        <v>Exist? (yes= 2, no= 0)</v>
      </c>
      <c r="C27" s="105"/>
      <c r="D27" s="459"/>
      <c r="E27" s="27" t="str">
        <f>IF(C27=yes,2,IF(C27=no,0,"NA"))</f>
        <v>NA</v>
      </c>
      <c r="F27" s="478"/>
      <c r="G27" s="478"/>
      <c r="H27" s="461"/>
    </row>
    <row r="28" spans="1:8" ht="24.95" customHeight="1">
      <c r="A28" s="518"/>
      <c r="B28" s="150" t="str">
        <f>Languages!B199</f>
        <v>Disabled toilet? (yes=1, no= 0)</v>
      </c>
      <c r="C28" s="105"/>
      <c r="D28" s="459"/>
      <c r="E28" s="27" t="str">
        <f>IF(C27=yes,IF(C28=yes,1,IF(C28=no,0,"NA")),"NA")</f>
        <v>NA</v>
      </c>
      <c r="F28" s="478"/>
      <c r="G28" s="478"/>
      <c r="H28" s="461"/>
    </row>
    <row r="29" spans="1:8" ht="24.95" customHeight="1">
      <c r="A29" s="518"/>
      <c r="B29" s="150" t="str">
        <f>Languages!B200</f>
        <v>unisex = 0, male/female separated = 1</v>
      </c>
      <c r="C29" s="97"/>
      <c r="D29" s="459"/>
      <c r="E29" s="27" t="str">
        <f>IF(C27=yes,IF(C29=Options!B177,0,IF(C29=Options!B178,1,"NA")),"NA")</f>
        <v>NA</v>
      </c>
      <c r="F29" s="478"/>
      <c r="G29" s="478"/>
      <c r="H29" s="461"/>
    </row>
    <row r="30" spans="1:8" ht="24.95" customHeight="1">
      <c r="A30" s="519"/>
      <c r="B30" s="150" t="str">
        <f>Languages!B201</f>
        <v>attendant: yes=1, no= 0</v>
      </c>
      <c r="C30" s="105"/>
      <c r="D30" s="450"/>
      <c r="E30" s="27" t="str">
        <f>IF(C27=yes,IF(C30=yes,1,IF(C30=no,0,"NA")),"NA")</f>
        <v>NA</v>
      </c>
      <c r="F30" s="520"/>
      <c r="G30" s="520"/>
      <c r="H30" s="462"/>
    </row>
    <row r="31" spans="1:8" s="24" customFormat="1" ht="24" customHeight="1">
      <c r="A31" s="469" t="s">
        <v>67</v>
      </c>
      <c r="B31" s="166" t="str">
        <f>Languages!B202</f>
        <v>Use of colours/ embellishing works</v>
      </c>
      <c r="C31" s="22"/>
      <c r="D31" s="502">
        <v>2</v>
      </c>
      <c r="E31" s="30">
        <f>IF(ISERROR(SUM(E32:E33)),"NA",SUM(E32:E33))</f>
        <v>0</v>
      </c>
      <c r="F31" s="529">
        <f>D31/$F$4*$F$6</f>
        <v>0.47058823529411764</v>
      </c>
      <c r="G31" s="508">
        <f>IF(ISNUMBER(E31),E31/$F$4*$F$6,0)</f>
        <v>0</v>
      </c>
      <c r="H31" s="466"/>
    </row>
    <row r="32" spans="1:8" s="24" customFormat="1" ht="24" customHeight="1">
      <c r="A32" s="470"/>
      <c r="B32" s="167" t="str">
        <f>Languages!B203</f>
        <v>Coloured pillars =1, no/concrete grey = 0</v>
      </c>
      <c r="C32" s="105"/>
      <c r="D32" s="503"/>
      <c r="E32" s="27" t="str">
        <f>IF(C32=Options!B180,1,IF(C32=Options!B181,0,"NA"))</f>
        <v>NA</v>
      </c>
      <c r="F32" s="530"/>
      <c r="G32" s="509"/>
      <c r="H32" s="467"/>
    </row>
    <row r="33" spans="1:8" s="24" customFormat="1" ht="24" customHeight="1">
      <c r="A33" s="471"/>
      <c r="B33" s="167" t="str">
        <f>Languages!B204</f>
        <v>Coloured walls =1, no/concrete grey = 0</v>
      </c>
      <c r="C33" s="105"/>
      <c r="D33" s="504"/>
      <c r="E33" s="27" t="str">
        <f>IF(C33=Options!B183,1,IF(C33=Options!B184,0,"NA"))</f>
        <v>NA</v>
      </c>
      <c r="F33" s="531"/>
      <c r="G33" s="532"/>
      <c r="H33" s="468"/>
    </row>
    <row r="34" spans="1:8" ht="24.95" customHeight="1">
      <c r="A34" s="455" t="s">
        <v>68</v>
      </c>
      <c r="B34" s="140" t="str">
        <f>Languages!B205</f>
        <v>Extra embellishment</v>
      </c>
      <c r="C34" s="157"/>
      <c r="D34" s="449">
        <v>4</v>
      </c>
      <c r="E34" s="16">
        <f>IF(ISERROR(SUM(E35:E37)),"NA",SUM(E35:E37))</f>
        <v>0</v>
      </c>
      <c r="F34" s="511">
        <f>D34/$F$4*$F$6</f>
        <v>0.94117647058823528</v>
      </c>
      <c r="G34" s="533">
        <f>IF(ISNUMBER(E34),E34/$F$4*$F$6,0)</f>
        <v>0</v>
      </c>
      <c r="H34" s="460"/>
    </row>
    <row r="35" spans="1:8" ht="24.95" customHeight="1">
      <c r="A35" s="456"/>
      <c r="B35" s="150" t="str">
        <f>Languages!B206</f>
        <v xml:space="preserve"> Artwork: (Yes = 2, No = 0)</v>
      </c>
      <c r="C35" s="105"/>
      <c r="D35" s="459"/>
      <c r="E35" s="27" t="str">
        <f>IF(C35=yes,2,IF(C35=no,0,"NA"))</f>
        <v>NA</v>
      </c>
      <c r="F35" s="487"/>
      <c r="G35" s="534"/>
      <c r="H35" s="461"/>
    </row>
    <row r="36" spans="1:8" ht="24.95" customHeight="1">
      <c r="A36" s="456"/>
      <c r="B36" s="150" t="str">
        <f>Languages!B207</f>
        <v>Planters: (Yes = 1, No = 0)</v>
      </c>
      <c r="C36" s="105"/>
      <c r="D36" s="459"/>
      <c r="E36" s="27" t="str">
        <f>IF(C36=yes,1,IF(C36=no,0,"NA"))</f>
        <v>NA</v>
      </c>
      <c r="F36" s="487"/>
      <c r="G36" s="534"/>
      <c r="H36" s="461"/>
    </row>
    <row r="37" spans="1:8" ht="24.95" customHeight="1">
      <c r="A37" s="457"/>
      <c r="B37" s="150" t="str">
        <f>Languages!B208</f>
        <v>Other: (Yes = 1, No = 0)</v>
      </c>
      <c r="C37" s="105"/>
      <c r="D37" s="450"/>
      <c r="E37" s="27" t="str">
        <f>IF(C37=yes,1,IF(C37=no,0,"NA"))</f>
        <v>NA</v>
      </c>
      <c r="F37" s="488"/>
      <c r="G37" s="535"/>
      <c r="H37" s="462"/>
    </row>
    <row r="38" spans="1:8" s="24" customFormat="1" ht="24" customHeight="1">
      <c r="A38" s="164" t="s">
        <v>69</v>
      </c>
      <c r="B38" s="165" t="str">
        <f>Languages!B209</f>
        <v>Mobile phone coverage (Yes = 2, No = 0)</v>
      </c>
      <c r="C38" s="100"/>
      <c r="D38" s="23">
        <v>2</v>
      </c>
      <c r="E38" s="23" t="str">
        <f>IF(C38=yes,2,IF(C38=no,0,"NA"))</f>
        <v>NA</v>
      </c>
      <c r="F38" s="66">
        <f t="shared" ref="F38:F39" si="1">D38/$F$4*$F$6</f>
        <v>0.47058823529411764</v>
      </c>
      <c r="G38" s="67">
        <f>IF(ISNUMBER(E38),E38/$F$4*$F$6,0)</f>
        <v>0</v>
      </c>
      <c r="H38" s="169"/>
    </row>
    <row r="39" spans="1:8" s="24" customFormat="1" ht="24" customHeight="1">
      <c r="A39" s="164" t="s">
        <v>70</v>
      </c>
      <c r="B39" s="165" t="str">
        <f>Languages!B210</f>
        <v>Continuity of radio signals (Yes = 1, No = 0)</v>
      </c>
      <c r="C39" s="100"/>
      <c r="D39" s="23">
        <v>1</v>
      </c>
      <c r="E39" s="23" t="str">
        <f>IF(C39=yes,1,IF(C39=no,0,"NA"))</f>
        <v>NA</v>
      </c>
      <c r="F39" s="66">
        <f t="shared" si="1"/>
        <v>0.23529411764705882</v>
      </c>
      <c r="G39" s="67">
        <f>IF(ISNUMBER(E39),E39/$F$4*$F$6,0)</f>
        <v>0</v>
      </c>
      <c r="H39" s="169"/>
    </row>
    <row r="40" spans="1:8" s="24" customFormat="1" ht="24" customHeight="1">
      <c r="A40" s="469" t="s">
        <v>71</v>
      </c>
      <c r="B40" s="166" t="str">
        <f>Languages!B211</f>
        <v>Music</v>
      </c>
      <c r="C40" s="22"/>
      <c r="D40" s="502">
        <v>3</v>
      </c>
      <c r="E40" s="30">
        <f>IF(ISERROR(SUM(E41:E42)),"NA",SUM(E41:E42))</f>
        <v>0</v>
      </c>
      <c r="F40" s="529">
        <f>D40/$F$4*$F$6</f>
        <v>0.70588235294117652</v>
      </c>
      <c r="G40" s="508">
        <f>IF(ISNUMBER(E40),E40/$F$4*$F$6,0)</f>
        <v>0</v>
      </c>
      <c r="H40" s="466"/>
    </row>
    <row r="41" spans="1:8" s="24" customFormat="1" ht="24" customHeight="1">
      <c r="A41" s="470"/>
      <c r="B41" s="167" t="str">
        <f>Languages!B212</f>
        <v>Background music: yes = 2, No = 0</v>
      </c>
      <c r="C41" s="105"/>
      <c r="D41" s="503"/>
      <c r="E41" s="27" t="str">
        <f>IF(C41=yes,2,IF(C41=no,0,"NA"))</f>
        <v>NA</v>
      </c>
      <c r="F41" s="530"/>
      <c r="G41" s="509"/>
      <c r="H41" s="467"/>
    </row>
    <row r="42" spans="1:8" s="24" customFormat="1" ht="24" customHeight="1">
      <c r="A42" s="471"/>
      <c r="B42" s="167" t="str">
        <f>Languages!B213</f>
        <v>Differentiation for way finding :  yes =1, No = 0</v>
      </c>
      <c r="C42" s="105"/>
      <c r="D42" s="504"/>
      <c r="E42" s="27" t="str">
        <f>IF(C41=yes,IF(C42=yes,1,0),"NA")</f>
        <v>NA</v>
      </c>
      <c r="F42" s="531"/>
      <c r="G42" s="532"/>
      <c r="H42" s="468"/>
    </row>
    <row r="43" spans="1:8" ht="24.95" customHeight="1">
      <c r="A43" s="125"/>
      <c r="B43" s="143" t="str">
        <f>CONCATENATE(Tags!$B$50," ",$B$1)</f>
        <v>Subtotals Comfort and Miscellaneous</v>
      </c>
      <c r="C43" s="174"/>
      <c r="D43" s="2">
        <f>SUM(D9:D40)</f>
        <v>34</v>
      </c>
      <c r="E43" s="25">
        <f>SUM(E38:E40,E34,E31,E26,E23,E22,E13,E9)</f>
        <v>0</v>
      </c>
      <c r="F43" s="9">
        <f>SUM(F9:F42)</f>
        <v>8</v>
      </c>
      <c r="G43" s="61">
        <f>SUM(G9:G42)</f>
        <v>0</v>
      </c>
      <c r="H43" s="173"/>
    </row>
    <row r="44" spans="1:8"/>
    <row r="45" spans="1:8" ht="15">
      <c r="A45" s="175" t="str">
        <f>Tags!B60</f>
        <v>Notes</v>
      </c>
    </row>
    <row r="46" spans="1:8"/>
    <row r="47" spans="1:8"/>
    <row r="48" spans="1:8"/>
    <row r="49"/>
    <row r="50"/>
    <row r="51"/>
    <row r="52"/>
    <row r="53"/>
    <row r="54"/>
    <row r="55"/>
    <row r="56"/>
    <row r="57"/>
    <row r="58"/>
    <row r="59"/>
    <row r="60"/>
    <row r="61"/>
    <row r="62"/>
    <row r="63"/>
  </sheetData>
  <sheetProtection algorithmName="SHA-512" hashValue="WRXRYz/5+4lghoPoGCn9M3gxY0nKg50NEO+vcZPjeukUoxmF1eXqVzFA5HSDT0DewH2WEdszj+7Q1MgiMQDMXw==" saltValue="q6NuHvDOvZYaWhoR87FhoA==" spinCount="100000" sheet="1" objects="1" scenarios="1" formatRows="0" selectLockedCells="1"/>
  <mergeCells count="36">
    <mergeCell ref="A34:A37"/>
    <mergeCell ref="D34:D37"/>
    <mergeCell ref="F34:F37"/>
    <mergeCell ref="G34:G37"/>
    <mergeCell ref="H34:H37"/>
    <mergeCell ref="A40:A42"/>
    <mergeCell ref="D40:D42"/>
    <mergeCell ref="F40:F42"/>
    <mergeCell ref="G40:G42"/>
    <mergeCell ref="H40:H42"/>
    <mergeCell ref="D23:D25"/>
    <mergeCell ref="A23:A25"/>
    <mergeCell ref="G23:G25"/>
    <mergeCell ref="H23:H25"/>
    <mergeCell ref="F23:F25"/>
    <mergeCell ref="A31:A33"/>
    <mergeCell ref="D31:D33"/>
    <mergeCell ref="F31:F33"/>
    <mergeCell ref="G31:G33"/>
    <mergeCell ref="H31:H33"/>
    <mergeCell ref="A13:A21"/>
    <mergeCell ref="D13:D21"/>
    <mergeCell ref="F13:F21"/>
    <mergeCell ref="G13:G21"/>
    <mergeCell ref="H13:H21"/>
    <mergeCell ref="A26:A30"/>
    <mergeCell ref="D26:D30"/>
    <mergeCell ref="G26:G30"/>
    <mergeCell ref="H26:H30"/>
    <mergeCell ref="F26:F30"/>
    <mergeCell ref="H3:H6"/>
    <mergeCell ref="A9:A12"/>
    <mergeCell ref="D9:D12"/>
    <mergeCell ref="F9:F12"/>
    <mergeCell ref="G9:G12"/>
    <mergeCell ref="H9:H12"/>
  </mergeCells>
  <phoneticPr fontId="24" type="noConversion"/>
  <conditionalFormatting sqref="C28:C30">
    <cfRule type="expression" dxfId="45" priority="30">
      <formula>$C$27=no</formula>
    </cfRule>
  </conditionalFormatting>
  <conditionalFormatting sqref="C26">
    <cfRule type="expression" dxfId="44" priority="27">
      <formula>($C$9="Yes")</formula>
    </cfRule>
  </conditionalFormatting>
  <conditionalFormatting sqref="C13">
    <cfRule type="expression" dxfId="43" priority="29">
      <formula>($C$9="Yes")</formula>
    </cfRule>
  </conditionalFormatting>
  <conditionalFormatting sqref="C22">
    <cfRule type="expression" dxfId="42" priority="28">
      <formula>($C$13="Yes")</formula>
    </cfRule>
  </conditionalFormatting>
  <conditionalFormatting sqref="C23">
    <cfRule type="expression" dxfId="41" priority="23">
      <formula>($C$13="Yes")</formula>
    </cfRule>
  </conditionalFormatting>
  <conditionalFormatting sqref="C24 E24">
    <cfRule type="expression" dxfId="40" priority="22">
      <formula>($C$23=yes)</formula>
    </cfRule>
  </conditionalFormatting>
  <conditionalFormatting sqref="C25 E25">
    <cfRule type="expression" dxfId="39" priority="21">
      <formula>($C$23&lt;&gt;yes)</formula>
    </cfRule>
  </conditionalFormatting>
  <conditionalFormatting sqref="C31">
    <cfRule type="expression" dxfId="38" priority="20">
      <formula>($C$9="Yes")</formula>
    </cfRule>
  </conditionalFormatting>
  <conditionalFormatting sqref="C31">
    <cfRule type="expression" dxfId="37" priority="19">
      <formula>($C$10="Yes")</formula>
    </cfRule>
  </conditionalFormatting>
  <conditionalFormatting sqref="C34">
    <cfRule type="expression" dxfId="36" priority="18">
      <formula>($C$9="Yes")</formula>
    </cfRule>
  </conditionalFormatting>
  <conditionalFormatting sqref="C40">
    <cfRule type="expression" dxfId="35" priority="17">
      <formula>($C$9="Yes")</formula>
    </cfRule>
  </conditionalFormatting>
  <conditionalFormatting sqref="C40">
    <cfRule type="expression" dxfId="34" priority="16">
      <formula>($C$10="Yes")</formula>
    </cfRule>
  </conditionalFormatting>
  <conditionalFormatting sqref="C38:C39">
    <cfRule type="expression" dxfId="33" priority="15">
      <formula>($C$13="Yes")</formula>
    </cfRule>
  </conditionalFormatting>
  <conditionalFormatting sqref="C9:C12">
    <cfRule type="expression" dxfId="32" priority="8">
      <formula>($C$9="Yes")</formula>
    </cfRule>
  </conditionalFormatting>
  <conditionalFormatting sqref="C42">
    <cfRule type="expression" dxfId="31" priority="3">
      <formula>($C$41=no)</formula>
    </cfRule>
  </conditionalFormatting>
  <conditionalFormatting sqref="H3:H6">
    <cfRule type="expression" dxfId="30" priority="1">
      <formula>$G$3="Fail"</formula>
    </cfRule>
    <cfRule type="expression" dxfId="29" priority="2">
      <formula>($G$3="Pass")</formula>
    </cfRule>
  </conditionalFormatting>
  <dataValidations count="1">
    <dataValidation type="list" allowBlank="1" showInputMessage="1" showErrorMessage="1" sqref="C10:C12 C14:C20 C27:C28 C30 C35:C39 C41:C42 C22:C23">
      <formula1>YesNo</formula1>
    </dataValidation>
  </dataValidations>
  <printOptions horizontalCentered="1"/>
  <pageMargins left="0.71" right="0.71" top="0.75000000000000011" bottom="0.75000000000000011" header="0.31" footer="0.31"/>
  <pageSetup paperSize="9" scale="46" orientation="portrait" horizontalDpi="300" verticalDpi="300"/>
  <headerFooter>
    <oddHeader>&amp;L&amp;"Calibri,Bold"&amp;K000000EPA - Checklist for the European Standard Parking Award</oddHeader>
    <oddFooter>&amp;L&amp;K000000[File]&amp;A</oddFooter>
  </headerFooter>
  <drawing r:id="rId1"/>
  <extLst>
    <ext xmlns:x14="http://schemas.microsoft.com/office/spreadsheetml/2009/9/main" uri="{78C0D931-6437-407d-A8EE-F0AAD7539E65}">
      <x14:conditionalFormattings>
        <x14:conditionalFormatting xmlns:xm="http://schemas.microsoft.com/office/excel/2006/main">
          <x14:cfRule type="expression" priority="7" id="{1EDF34F8-299D-2646-9B95-7DB0C2D6693D}">
            <xm:f>$D$1=Tags!$B$21</xm:f>
            <x14:dxf>
              <font>
                <color rgb="FF9C0006"/>
              </font>
            </x14:dxf>
          </x14:cfRule>
          <xm:sqref>D1</xm:sqref>
        </x14:conditionalFormatting>
        <x14:conditionalFormatting xmlns:xm="http://schemas.microsoft.com/office/excel/2006/main">
          <x14:cfRule type="expression" priority="6" id="{9E723D2A-46A0-D946-BB35-AD6F03C32602}">
            <xm:f>$D$1=Tags!$B$21</xm:f>
            <x14:dxf>
              <font>
                <color rgb="FF9C0006"/>
              </font>
            </x14:dxf>
          </x14:cfRule>
          <xm:sqref>E1</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14:formula1>
            <xm:f>Options!$B$163:$B$166</xm:f>
          </x14:formula1>
          <xm:sqref>C21</xm:sqref>
        </x14:dataValidation>
        <x14:dataValidation type="list" allowBlank="1" showInputMessage="1" showErrorMessage="1">
          <x14:formula1>
            <xm:f>Options!$B$168:$B$171</xm:f>
          </x14:formula1>
          <xm:sqref>C24</xm:sqref>
        </x14:dataValidation>
        <x14:dataValidation type="list" allowBlank="1" showInputMessage="1" showErrorMessage="1">
          <x14:formula1>
            <xm:f>Options!$B$173:$B$175</xm:f>
          </x14:formula1>
          <xm:sqref>C25</xm:sqref>
        </x14:dataValidation>
        <x14:dataValidation type="list" allowBlank="1" showInputMessage="1" showErrorMessage="1">
          <x14:formula1>
            <xm:f>Options!$B$177:$B$178</xm:f>
          </x14:formula1>
          <xm:sqref>C29</xm:sqref>
        </x14:dataValidation>
        <x14:dataValidation type="list" allowBlank="1" showInputMessage="1" showErrorMessage="1">
          <x14:formula1>
            <xm:f>Options!$B$180:$B$181</xm:f>
          </x14:formula1>
          <xm:sqref>C32</xm:sqref>
        </x14:dataValidation>
        <x14:dataValidation type="list" allowBlank="1" showInputMessage="1" showErrorMessage="1">
          <x14:formula1>
            <xm:f>Options!$B$183:$B$184</xm:f>
          </x14:formula1>
          <xm:sqref>C33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I41"/>
  <sheetViews>
    <sheetView showGridLines="0" workbookViewId="0">
      <pane ySplit="8" topLeftCell="A9" activePane="bottomLeft" state="frozenSplit"/>
      <selection activeCell="C11" sqref="C11:E11"/>
      <selection pane="bottomLeft" activeCell="H9" sqref="H9:H11"/>
    </sheetView>
  </sheetViews>
  <sheetFormatPr baseColWidth="10" defaultColWidth="0" defaultRowHeight="14.25" zeroHeight="1"/>
  <cols>
    <col min="1" max="1" width="4.86328125" style="6" customWidth="1"/>
    <col min="2" max="2" width="58" style="6" customWidth="1"/>
    <col min="3" max="3" width="15.265625" style="6" customWidth="1"/>
    <col min="4" max="5" width="11" style="6" customWidth="1"/>
    <col min="6" max="6" width="15.86328125" style="6" customWidth="1"/>
    <col min="7" max="7" width="12.3984375" style="6" customWidth="1"/>
    <col min="8" max="8" width="48.3984375" style="6" customWidth="1"/>
    <col min="9" max="9" width="0.3984375" style="6" customWidth="1"/>
    <col min="10" max="16384" width="8.86328125" style="6" hidden="1"/>
  </cols>
  <sheetData>
    <row r="1" spans="1:8" s="24" customFormat="1" ht="27.95" customHeight="1" thickTop="1" thickBot="1">
      <c r="A1" s="126">
        <v>10</v>
      </c>
      <c r="B1" s="127" t="str">
        <f>Languages!B214</f>
        <v>Energy and Environment</v>
      </c>
      <c r="C1" s="63"/>
      <c r="D1" s="64"/>
      <c r="E1" s="128" t="str">
        <f>IF(C6&gt;0,Tags!B21,Tags!B20)</f>
        <v>Incompleted</v>
      </c>
      <c r="F1" s="129" t="s">
        <v>485</v>
      </c>
      <c r="G1" s="130">
        <f>F5*F6</f>
        <v>0</v>
      </c>
      <c r="H1" s="131">
        <f>F5</f>
        <v>0</v>
      </c>
    </row>
    <row r="2" spans="1:8" s="24" customFormat="1" ht="12.95" customHeight="1" thickTop="1"/>
    <row r="3" spans="1:8" s="24" customFormat="1" ht="12.95" customHeight="1">
      <c r="B3" s="132" t="str">
        <f>Tags!B30</f>
        <v>Total Items</v>
      </c>
      <c r="C3" s="123">
        <v>10</v>
      </c>
      <c r="E3" s="132" t="str">
        <f>Tags!B34</f>
        <v>Score</v>
      </c>
      <c r="F3" s="133">
        <f>E21</f>
        <v>0</v>
      </c>
      <c r="G3" s="44"/>
      <c r="H3" s="440" t="str">
        <f>Evaluation!M15</f>
        <v>Incomplete</v>
      </c>
    </row>
    <row r="4" spans="1:8" s="24" customFormat="1" ht="12.95" customHeight="1">
      <c r="B4" s="132" t="str">
        <f>Tags!B31</f>
        <v>Total Items + SubItems</v>
      </c>
      <c r="C4" s="123">
        <v>11</v>
      </c>
      <c r="E4" s="132" t="str">
        <f>Tags!B35</f>
        <v>Maximum Score</v>
      </c>
      <c r="F4" s="133">
        <f>D21</f>
        <v>20</v>
      </c>
      <c r="G4" s="44"/>
      <c r="H4" s="441"/>
    </row>
    <row r="5" spans="1:8" s="24" customFormat="1" ht="12.95" customHeight="1">
      <c r="B5" s="132" t="str">
        <f>Tags!B32</f>
        <v>Itens Completed</v>
      </c>
      <c r="C5" s="133">
        <f>COUNTA(C10:C20)</f>
        <v>0</v>
      </c>
      <c r="E5" s="132" t="str">
        <f>Tags!B36</f>
        <v>Percentage</v>
      </c>
      <c r="F5" s="134">
        <f>F3/F4</f>
        <v>0</v>
      </c>
      <c r="G5" s="135"/>
      <c r="H5" s="441"/>
    </row>
    <row r="6" spans="1:8" s="24" customFormat="1" ht="12.95" customHeight="1">
      <c r="B6" s="132" t="str">
        <f>Tags!B33</f>
        <v>Not measured</v>
      </c>
      <c r="C6" s="133">
        <f>C4-C5</f>
        <v>11</v>
      </c>
      <c r="E6" s="132" t="str">
        <f>Tags!B37</f>
        <v>Category Value</v>
      </c>
      <c r="F6" s="133">
        <f>VLOOKUP(A1,Evaluation!$A$7:$M$15,11)</f>
        <v>8</v>
      </c>
      <c r="G6" s="44"/>
      <c r="H6" s="442"/>
    </row>
    <row r="7" spans="1:8" s="24" customFormat="1" ht="12.95" customHeight="1"/>
    <row r="8" spans="1:8" ht="51.95" customHeight="1">
      <c r="A8" s="18">
        <v>10</v>
      </c>
      <c r="B8" s="17" t="str">
        <f>Tags!B55</f>
        <v>Item List</v>
      </c>
      <c r="C8" s="89" t="str">
        <f>Tags!B56</f>
        <v>Measured value</v>
      </c>
      <c r="D8" s="8" t="str">
        <f>E4</f>
        <v>Maximum Score</v>
      </c>
      <c r="E8" s="8" t="str">
        <f>E3</f>
        <v>Score</v>
      </c>
      <c r="F8" s="8" t="str">
        <f>Tags!D57</f>
        <v>Maximum Contribuition for Final Score</v>
      </c>
      <c r="G8" s="8" t="str">
        <f>Tags!D58</f>
        <v>Contribuition for Final Score</v>
      </c>
      <c r="H8" s="8" t="str">
        <f>Tags!D59</f>
        <v>Remarks</v>
      </c>
    </row>
    <row r="9" spans="1:8" s="24" customFormat="1" ht="24" customHeight="1">
      <c r="A9" s="469" t="s">
        <v>72</v>
      </c>
      <c r="B9" s="166" t="str">
        <f>Languages!B215</f>
        <v>Energy Saving Lighting Systems</v>
      </c>
      <c r="C9" s="22"/>
      <c r="D9" s="502">
        <v>2</v>
      </c>
      <c r="E9" s="30" t="str">
        <f>IF(ISERROR(E10+E11),"NA",SUM(E10:E11))</f>
        <v>NA</v>
      </c>
      <c r="F9" s="529">
        <f>D9/$F$4*$F$6</f>
        <v>0.8</v>
      </c>
      <c r="G9" s="508">
        <f>IF(ISNUMBER(E9),E9/$F$4*$F$6,0)</f>
        <v>0</v>
      </c>
      <c r="H9" s="466"/>
    </row>
    <row r="10" spans="1:8" s="24" customFormat="1" ht="24" customHeight="1">
      <c r="A10" s="470"/>
      <c r="B10" s="167" t="str">
        <f>Languages!B216</f>
        <v>Power Factor Compensation (Yes=1, No=0)</v>
      </c>
      <c r="C10" s="105"/>
      <c r="D10" s="503"/>
      <c r="E10" s="27" t="str">
        <f>IF(C10=yes,1,IF(C10=no,0,"NA"))</f>
        <v>NA</v>
      </c>
      <c r="F10" s="530"/>
      <c r="G10" s="509"/>
      <c r="H10" s="467"/>
    </row>
    <row r="11" spans="1:8" s="24" customFormat="1" ht="24" customHeight="1">
      <c r="A11" s="471"/>
      <c r="B11" s="167" t="str">
        <f>Languages!B217</f>
        <v>Other Systems (Yes=1, No=0)</v>
      </c>
      <c r="C11" s="105"/>
      <c r="D11" s="504"/>
      <c r="E11" s="27" t="str">
        <f>IF(C11=yes,1,IF(C11=no,0,"NA"))</f>
        <v>NA</v>
      </c>
      <c r="F11" s="531"/>
      <c r="G11" s="532"/>
      <c r="H11" s="468"/>
    </row>
    <row r="12" spans="1:8" s="24" customFormat="1" ht="24" customHeight="1">
      <c r="A12" s="164" t="s">
        <v>73</v>
      </c>
      <c r="B12" s="165" t="str">
        <f>Languages!B218</f>
        <v>Movement detection variable lights, remaining quality (yes= 2, no= 0)</v>
      </c>
      <c r="C12" s="100"/>
      <c r="D12" s="23">
        <v>2</v>
      </c>
      <c r="E12" s="30" t="str">
        <f>IF(C12=yes,2,IF(C12=no,0,"NA"))</f>
        <v>NA</v>
      </c>
      <c r="F12" s="66">
        <f t="shared" ref="F12:F20" si="0">D12/$F$4*$F$6</f>
        <v>0.8</v>
      </c>
      <c r="G12" s="67">
        <f t="shared" ref="G12:G20" si="1">IF(ISNUMBER(E12),E12/$F$4*$F$6,0)</f>
        <v>0</v>
      </c>
      <c r="H12" s="169"/>
    </row>
    <row r="13" spans="1:8" s="24" customFormat="1" ht="36" customHeight="1">
      <c r="A13" s="164" t="s">
        <v>74</v>
      </c>
      <c r="B13" s="165" t="str">
        <f>Languages!B219</f>
        <v>Adaptable lighting for daylight compensation at entrance area 
(yes= 2, no= 0)</v>
      </c>
      <c r="C13" s="100"/>
      <c r="D13" s="23">
        <v>2</v>
      </c>
      <c r="E13" s="30" t="str">
        <f>IF(C13=yes,2,IF(C13=no,0,"NA"))</f>
        <v>NA</v>
      </c>
      <c r="F13" s="66">
        <f t="shared" si="0"/>
        <v>0.8</v>
      </c>
      <c r="G13" s="67">
        <f t="shared" si="1"/>
        <v>0</v>
      </c>
      <c r="H13" s="169"/>
    </row>
    <row r="14" spans="1:8" s="24" customFormat="1" ht="36" customHeight="1">
      <c r="A14" s="164" t="s">
        <v>75</v>
      </c>
      <c r="B14" s="165" t="str">
        <f>Languages!B220</f>
        <v>Adaptable lighting for ambient light conditions at parking floor from daylight
(yes= 2, no= 0, Irrelevant (below ground) =2)</v>
      </c>
      <c r="C14" s="100"/>
      <c r="D14" s="23">
        <v>2</v>
      </c>
      <c r="E14" s="30" t="str">
        <f>IF(C14=yes,2,IF(C14=no,0,IF(C14=Options!B25,2,"NA")))</f>
        <v>NA</v>
      </c>
      <c r="F14" s="66">
        <f t="shared" si="0"/>
        <v>0.8</v>
      </c>
      <c r="G14" s="67">
        <f t="shared" si="1"/>
        <v>0</v>
      </c>
      <c r="H14" s="169"/>
    </row>
    <row r="15" spans="1:8" s="24" customFormat="1" ht="24" customHeight="1">
      <c r="A15" s="164" t="s">
        <v>76</v>
      </c>
      <c r="B15" s="165" t="str">
        <f>Languages!B221</f>
        <v>Solar panels on the roof or other green energy initiatives (yes= 2, no= 0)</v>
      </c>
      <c r="C15" s="100"/>
      <c r="D15" s="23">
        <v>2</v>
      </c>
      <c r="E15" s="30" t="str">
        <f>IF(C15=yes,2,IF(C15=no,0,"NA"))</f>
        <v>NA</v>
      </c>
      <c r="F15" s="66">
        <f t="shared" si="0"/>
        <v>0.8</v>
      </c>
      <c r="G15" s="67">
        <f t="shared" si="1"/>
        <v>0</v>
      </c>
      <c r="H15" s="169"/>
    </row>
    <row r="16" spans="1:8" s="24" customFormat="1" ht="36" customHeight="1">
      <c r="A16" s="164" t="s">
        <v>78</v>
      </c>
      <c r="B16" s="165" t="str">
        <f>Languages!B222</f>
        <v>Special treatment of cleaning water:
•  yes= 2, no= 0</v>
      </c>
      <c r="C16" s="100"/>
      <c r="D16" s="23">
        <v>2</v>
      </c>
      <c r="E16" s="30" t="str">
        <f>IF(C16=yes,2,IF(C16=no,0,"NA"))</f>
        <v>NA</v>
      </c>
      <c r="F16" s="66">
        <f t="shared" si="0"/>
        <v>0.8</v>
      </c>
      <c r="G16" s="67">
        <f t="shared" si="1"/>
        <v>0</v>
      </c>
      <c r="H16" s="169"/>
    </row>
    <row r="17" spans="1:8" s="24" customFormat="1" ht="48.95" customHeight="1">
      <c r="A17" s="164" t="s">
        <v>99</v>
      </c>
      <c r="B17" s="165" t="str">
        <f>Languages!B223</f>
        <v xml:space="preserve">Grey water or re-use of rain water
•  yes= 2, no= 0
</v>
      </c>
      <c r="C17" s="100"/>
      <c r="D17" s="23">
        <v>2</v>
      </c>
      <c r="E17" s="30" t="str">
        <f>IF(C17=yes,2,IF(C17=no,0,"NA"))</f>
        <v>NA</v>
      </c>
      <c r="F17" s="66">
        <f t="shared" si="0"/>
        <v>0.8</v>
      </c>
      <c r="G17" s="67">
        <f t="shared" si="1"/>
        <v>0</v>
      </c>
      <c r="H17" s="169"/>
    </row>
    <row r="18" spans="1:8" s="24" customFormat="1" ht="36" customHeight="1">
      <c r="A18" s="164" t="s">
        <v>100</v>
      </c>
      <c r="B18" s="165" t="str">
        <f>Languages!B224</f>
        <v>Electric Vehicles recharging points: (Yes, more than one= 2, One recharging point=1, None=0)</v>
      </c>
      <c r="C18" s="100"/>
      <c r="D18" s="23">
        <v>2</v>
      </c>
      <c r="E18" s="30" t="str">
        <f>IF(C18=Options!B186,2,IF(C18=Options!B187,1,IF(C18=Options!B188,0,"NA")))</f>
        <v>NA</v>
      </c>
      <c r="F18" s="66">
        <f t="shared" si="0"/>
        <v>0.8</v>
      </c>
      <c r="G18" s="67">
        <f t="shared" si="1"/>
        <v>0</v>
      </c>
      <c r="H18" s="169"/>
    </row>
    <row r="19" spans="1:8" s="24" customFormat="1" ht="36" customHeight="1">
      <c r="A19" s="164" t="s">
        <v>101</v>
      </c>
      <c r="B19" s="165" t="str">
        <f>Languages!B225</f>
        <v>Car sharing and similar initiatives
•  yes= 2, no= 0</v>
      </c>
      <c r="C19" s="100"/>
      <c r="D19" s="23">
        <v>2</v>
      </c>
      <c r="E19" s="30" t="str">
        <f>IF(C19=yes,2,IF(C19=no,0,"NA"))</f>
        <v>NA</v>
      </c>
      <c r="F19" s="66">
        <f t="shared" si="0"/>
        <v>0.8</v>
      </c>
      <c r="G19" s="67">
        <f t="shared" si="1"/>
        <v>0</v>
      </c>
      <c r="H19" s="169"/>
    </row>
    <row r="20" spans="1:8" s="24" customFormat="1" ht="36" customHeight="1">
      <c r="A20" s="164" t="s">
        <v>102</v>
      </c>
      <c r="B20" s="165" t="str">
        <f>Languages!B226</f>
        <v>Other environmental or zero emission  initiatives
•  yes= 2, no= 0</v>
      </c>
      <c r="C20" s="100"/>
      <c r="D20" s="23">
        <v>2</v>
      </c>
      <c r="E20" s="30" t="str">
        <f>IF(C20=yes,2,IF(C20=no,0,"NA"))</f>
        <v>NA</v>
      </c>
      <c r="F20" s="66">
        <f t="shared" si="0"/>
        <v>0.8</v>
      </c>
      <c r="G20" s="67">
        <f t="shared" si="1"/>
        <v>0</v>
      </c>
      <c r="H20" s="169"/>
    </row>
    <row r="21" spans="1:8" ht="24.95" customHeight="1">
      <c r="A21" s="125"/>
      <c r="B21" s="143" t="str">
        <f>CONCATENATE(Tags!$B$50," ",$B$1)</f>
        <v>Subtotals Energy and Environment</v>
      </c>
      <c r="C21" s="174"/>
      <c r="D21" s="2">
        <f>SUM(D9:D20)</f>
        <v>20</v>
      </c>
      <c r="E21" s="25">
        <f>SUM(E12:E20,E9)</f>
        <v>0</v>
      </c>
      <c r="F21" s="9">
        <f>SUM(F9:F20)</f>
        <v>7.9999999999999991</v>
      </c>
      <c r="G21" s="61">
        <f>SUM(G9:G20)</f>
        <v>0</v>
      </c>
      <c r="H21" s="173"/>
    </row>
    <row r="22" spans="1:8"/>
    <row r="23" spans="1:8" ht="15">
      <c r="A23" s="175" t="str">
        <f>Tags!B60</f>
        <v>Notes</v>
      </c>
    </row>
    <row r="24" spans="1:8"/>
    <row r="25" spans="1:8"/>
    <row r="26" spans="1:8"/>
    <row r="27" spans="1:8"/>
    <row r="28" spans="1:8"/>
    <row r="29" spans="1:8"/>
    <row r="30" spans="1:8"/>
    <row r="31" spans="1:8"/>
    <row r="32" spans="1:8"/>
    <row r="33"/>
    <row r="34"/>
    <row r="35"/>
    <row r="36"/>
    <row r="37"/>
    <row r="38"/>
    <row r="39"/>
    <row r="40"/>
    <row r="41"/>
  </sheetData>
  <sheetProtection algorithmName="SHA-512" hashValue="lsd57otU2Cr6TQgmehhP9SknbEka6Wtuo1Q5D0R5IZSJ9d6eIAEW8a9nUN8v2aAwGJyGbWDL22rnjL4342kJBw==" saltValue="2PAKVPvTgQC4+Nqldalqzw==" spinCount="100000" sheet="1" objects="1" scenarios="1" formatRows="0" selectLockedCells="1"/>
  <mergeCells count="6">
    <mergeCell ref="H3:H6"/>
    <mergeCell ref="A9:A11"/>
    <mergeCell ref="D9:D11"/>
    <mergeCell ref="F9:F11"/>
    <mergeCell ref="G9:G11"/>
    <mergeCell ref="H9:H11"/>
  </mergeCells>
  <phoneticPr fontId="24" type="noConversion"/>
  <conditionalFormatting sqref="C9">
    <cfRule type="expression" dxfId="26" priority="16">
      <formula>($C$9="Yes")</formula>
    </cfRule>
  </conditionalFormatting>
  <conditionalFormatting sqref="C9">
    <cfRule type="expression" dxfId="25" priority="15">
      <formula>($C$10="Yes")</formula>
    </cfRule>
  </conditionalFormatting>
  <conditionalFormatting sqref="H3:H6">
    <cfRule type="expression" dxfId="24" priority="1">
      <formula>$G$3="Fail"</formula>
    </cfRule>
    <cfRule type="expression" dxfId="23" priority="2">
      <formula>($G$3="Pass")</formula>
    </cfRule>
  </conditionalFormatting>
  <dataValidations count="1">
    <dataValidation type="list" allowBlank="1" showInputMessage="1" showErrorMessage="1" sqref="C10:C13 C15:C17 C19:C20">
      <formula1>YesNo</formula1>
    </dataValidation>
  </dataValidations>
  <printOptions horizontalCentered="1"/>
  <pageMargins left="0.71" right="0.71" top="0.75000000000000011" bottom="0.75000000000000011" header="0.31" footer="0.31"/>
  <pageSetup paperSize="9" scale="46" orientation="portrait" horizontalDpi="300" verticalDpi="300"/>
  <headerFooter>
    <oddHeader>&amp;L&amp;"Calibri,Bold"&amp;K000000EPA - Checklist for the European Standard Parking Award</oddHeader>
    <oddFooter>&amp;L&amp;K000000[File]&amp;A</oddFooter>
  </headerFooter>
  <drawing r:id="rId1"/>
  <extLst>
    <ext xmlns:x14="http://schemas.microsoft.com/office/spreadsheetml/2009/9/main" uri="{78C0D931-6437-407d-A8EE-F0AAD7539E65}">
      <x14:conditionalFormattings>
        <x14:conditionalFormatting xmlns:xm="http://schemas.microsoft.com/office/excel/2006/main">
          <x14:cfRule type="expression" priority="5" id="{50047C9F-221F-CC4C-854F-B15279414264}">
            <xm:f>$D$1=Tags!$B$21</xm:f>
            <x14:dxf>
              <font>
                <color rgb="FF9C0006"/>
              </font>
            </x14:dxf>
          </x14:cfRule>
          <xm:sqref>E1</xm:sqref>
        </x14:conditionalFormatting>
        <x14:conditionalFormatting xmlns:xm="http://schemas.microsoft.com/office/excel/2006/main">
          <x14:cfRule type="expression" priority="6" id="{5E64F863-1D5A-B441-B48D-A1191E2B8626}">
            <xm:f>$D$1=Tags!$B$21</xm:f>
            <x14:dxf>
              <font>
                <color rgb="FF9C0006"/>
              </font>
            </x14:dxf>
          </x14:cfRule>
          <xm:sqref>D1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Options!$B$23:$B$25</xm:f>
          </x14:formula1>
          <xm:sqref>C14</xm:sqref>
        </x14:dataValidation>
        <x14:dataValidation type="list" allowBlank="1" showInputMessage="1" showErrorMessage="1">
          <x14:formula1>
            <xm:f>Options!$B$186:$B$188</xm:f>
          </x14:formula1>
          <xm:sqref>C18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I56"/>
  <sheetViews>
    <sheetView showGridLines="0" workbookViewId="0">
      <pane ySplit="8" topLeftCell="A9" activePane="bottomLeft" state="frozenSplit"/>
      <selection activeCell="C11" sqref="C11:E11"/>
      <selection pane="bottomLeft" activeCell="H9" sqref="H9:H14"/>
    </sheetView>
  </sheetViews>
  <sheetFormatPr baseColWidth="10" defaultColWidth="0" defaultRowHeight="14.25" zeroHeight="1"/>
  <cols>
    <col min="1" max="1" width="4.86328125" style="6" customWidth="1"/>
    <col min="2" max="2" width="58" style="6" customWidth="1"/>
    <col min="3" max="3" width="15.265625" style="6" customWidth="1"/>
    <col min="4" max="5" width="11" style="6" customWidth="1"/>
    <col min="6" max="6" width="15.86328125" style="6" customWidth="1"/>
    <col min="7" max="7" width="12.3984375" style="6" customWidth="1"/>
    <col min="8" max="8" width="48.3984375" style="6" customWidth="1"/>
    <col min="9" max="9" width="0.86328125" style="6" customWidth="1"/>
    <col min="10" max="16384" width="8.86328125" style="6" hidden="1"/>
  </cols>
  <sheetData>
    <row r="1" spans="1:8" s="24" customFormat="1" ht="27.95" customHeight="1" thickBot="1">
      <c r="A1" s="284" t="s">
        <v>6</v>
      </c>
      <c r="B1" s="118" t="str">
        <f>Languages!B227</f>
        <v>Minus Points</v>
      </c>
      <c r="C1" s="285"/>
      <c r="D1" s="286"/>
      <c r="E1" s="287" t="str">
        <f>IF(C6&gt;0,Tags!B21,Tags!B20)</f>
        <v>Incompleted</v>
      </c>
      <c r="F1" s="288" t="s">
        <v>485</v>
      </c>
      <c r="G1" s="289">
        <f>F5*F6</f>
        <v>0</v>
      </c>
      <c r="H1" s="290">
        <f>F5</f>
        <v>0</v>
      </c>
    </row>
    <row r="2" spans="1:8" s="24" customFormat="1" ht="12.95" customHeight="1"/>
    <row r="3" spans="1:8" s="24" customFormat="1" ht="12.95" customHeight="1">
      <c r="B3" s="132" t="str">
        <f>Tags!B30</f>
        <v>Total Items</v>
      </c>
      <c r="C3" s="123">
        <v>8</v>
      </c>
      <c r="E3" s="132" t="str">
        <f>Tags!B34</f>
        <v>Score</v>
      </c>
      <c r="F3" s="133">
        <f>E37</f>
        <v>0</v>
      </c>
      <c r="G3" s="44"/>
      <c r="H3" s="44"/>
    </row>
    <row r="4" spans="1:8" s="24" customFormat="1" ht="12.95" customHeight="1">
      <c r="B4" s="132" t="str">
        <f>Tags!B31</f>
        <v>Total Items + SubItems</v>
      </c>
      <c r="C4" s="123">
        <v>23</v>
      </c>
      <c r="E4" s="132" t="str">
        <f>Tags!B35</f>
        <v>Maximum Score</v>
      </c>
      <c r="F4" s="133">
        <f>D37</f>
        <v>-60</v>
      </c>
      <c r="G4" s="44"/>
      <c r="H4" s="44"/>
    </row>
    <row r="5" spans="1:8" s="24" customFormat="1" ht="12.95" customHeight="1">
      <c r="B5" s="132" t="str">
        <f>Tags!B32</f>
        <v>Itens Completed</v>
      </c>
      <c r="C5" s="133">
        <f>COUNTA(C10:C14,C16:C20,C22:C25,C27:C29,C31:C36)</f>
        <v>0</v>
      </c>
      <c r="E5" s="132" t="str">
        <f>Tags!B36</f>
        <v>Percentage</v>
      </c>
      <c r="F5" s="134">
        <f>F3/F4</f>
        <v>0</v>
      </c>
      <c r="G5" s="135"/>
      <c r="H5" s="135"/>
    </row>
    <row r="6" spans="1:8" s="24" customFormat="1" ht="12.95" customHeight="1">
      <c r="B6" s="132" t="str">
        <f>Tags!B33</f>
        <v>Not measured</v>
      </c>
      <c r="C6" s="133">
        <f>C4-C5</f>
        <v>23</v>
      </c>
      <c r="E6" s="132" t="str">
        <f>Tags!B37</f>
        <v>Category Value</v>
      </c>
      <c r="F6" s="133">
        <f>Evaluation!K18</f>
        <v>-15</v>
      </c>
      <c r="G6" s="44"/>
      <c r="H6" s="44"/>
    </row>
    <row r="7" spans="1:8" s="24" customFormat="1" ht="12.95" customHeight="1"/>
    <row r="8" spans="1:8" ht="51.95" customHeight="1">
      <c r="A8" s="280" t="s">
        <v>6</v>
      </c>
      <c r="B8" s="17" t="str">
        <f>Tags!B55</f>
        <v>Item List</v>
      </c>
      <c r="C8" s="89" t="str">
        <f>Tags!B56</f>
        <v>Measured value</v>
      </c>
      <c r="D8" s="8" t="str">
        <f>E4</f>
        <v>Maximum Score</v>
      </c>
      <c r="E8" s="8" t="str">
        <f>E3</f>
        <v>Score</v>
      </c>
      <c r="F8" s="8" t="str">
        <f>Tags!D57</f>
        <v>Maximum Contribuition for Final Score</v>
      </c>
      <c r="G8" s="8" t="str">
        <f>Tags!D58</f>
        <v>Contribuition for Final Score</v>
      </c>
      <c r="H8" s="8" t="str">
        <f>Tags!D59</f>
        <v>Remarks</v>
      </c>
    </row>
    <row r="9" spans="1:8" ht="24.95" customHeight="1">
      <c r="A9" s="542" t="s">
        <v>7</v>
      </c>
      <c r="B9" s="273" t="str">
        <f>Languages!B228</f>
        <v>Presence of Graffiti</v>
      </c>
      <c r="C9" s="22"/>
      <c r="D9" s="539">
        <v>-10</v>
      </c>
      <c r="E9" s="16" t="str">
        <f>IF(ISERROR(E10+E11+E12+E13+E14),"NA",SUM(E10:E14))</f>
        <v>NA</v>
      </c>
      <c r="F9" s="525">
        <f>D9/$F$4*$F$6</f>
        <v>-2.5</v>
      </c>
      <c r="G9" s="525">
        <f>IF(ISNUMBER(E9),E9/$F$4*$F$6,0)</f>
        <v>0</v>
      </c>
      <c r="H9" s="528"/>
    </row>
    <row r="10" spans="1:8" ht="24.95" customHeight="1">
      <c r="A10" s="537"/>
      <c r="B10" s="274" t="str">
        <f>Languages!B229</f>
        <v>Stairwells (Yes= -2, No= 0)</v>
      </c>
      <c r="C10" s="105"/>
      <c r="D10" s="540"/>
      <c r="E10" s="27" t="str">
        <f>IF(C10=yes,-2,IF(C10=no,0,"NA"))</f>
        <v>NA</v>
      </c>
      <c r="F10" s="526"/>
      <c r="G10" s="526"/>
      <c r="H10" s="467"/>
    </row>
    <row r="11" spans="1:8" ht="24.95" customHeight="1">
      <c r="A11" s="537"/>
      <c r="B11" s="274" t="str">
        <f>Languages!B230</f>
        <v>Elevator (Yes= -2, No= 0)</v>
      </c>
      <c r="C11" s="105"/>
      <c r="D11" s="540"/>
      <c r="E11" s="27" t="str">
        <f>IF(C11=yes,-2,IF(C11=no,0,"NA"))</f>
        <v>NA</v>
      </c>
      <c r="F11" s="526"/>
      <c r="G11" s="526"/>
      <c r="H11" s="467"/>
    </row>
    <row r="12" spans="1:8" ht="24.95" customHeight="1">
      <c r="A12" s="537"/>
      <c r="B12" s="274" t="str">
        <f>Languages!B231</f>
        <v>Toilets (Yes= -2, No= 0)</v>
      </c>
      <c r="C12" s="105"/>
      <c r="D12" s="540"/>
      <c r="E12" s="27" t="str">
        <f>IF(C12=yes,-2,IF(C12=no,0,"NA"))</f>
        <v>NA</v>
      </c>
      <c r="F12" s="526"/>
      <c r="G12" s="526"/>
      <c r="H12" s="467"/>
    </row>
    <row r="13" spans="1:8" ht="24.95" customHeight="1">
      <c r="A13" s="537"/>
      <c r="B13" s="274" t="str">
        <f>Languages!B232</f>
        <v>Parking area (Yes= -2, No= 0)</v>
      </c>
      <c r="C13" s="105"/>
      <c r="D13" s="540"/>
      <c r="E13" s="27" t="str">
        <f>IF(C13=yes,-2,IF(C13=no,0,"NA"))</f>
        <v>NA</v>
      </c>
      <c r="F13" s="526"/>
      <c r="G13" s="526"/>
      <c r="H13" s="467"/>
    </row>
    <row r="14" spans="1:8" ht="24.95" customHeight="1">
      <c r="A14" s="543"/>
      <c r="B14" s="274" t="str">
        <f>Languages!B233</f>
        <v>Outside walls (Yes= -2, No= 0)</v>
      </c>
      <c r="C14" s="105"/>
      <c r="D14" s="541"/>
      <c r="E14" s="27" t="str">
        <f>IF(C14=yes,-2,IF(C14=no,0,"NA"))</f>
        <v>NA</v>
      </c>
      <c r="F14" s="527"/>
      <c r="G14" s="527"/>
      <c r="H14" s="468"/>
    </row>
    <row r="15" spans="1:8" ht="24.95" customHeight="1">
      <c r="A15" s="536" t="s">
        <v>8</v>
      </c>
      <c r="B15" s="273" t="str">
        <f>Languages!B234</f>
        <v>Presence of dirt</v>
      </c>
      <c r="C15" s="22"/>
      <c r="D15" s="539">
        <v>-10</v>
      </c>
      <c r="E15" s="16" t="str">
        <f>IF(ISERROR(E16+E17+E18+E19+E20),"NA",SUM(E16:E20))</f>
        <v>NA</v>
      </c>
      <c r="F15" s="486">
        <f>D15/$F$4*$F$6</f>
        <v>-2.5</v>
      </c>
      <c r="G15" s="486">
        <f>IF(ISNUMBER(E15),E15/$F$4*$F$6,0)</f>
        <v>0</v>
      </c>
      <c r="H15" s="528"/>
    </row>
    <row r="16" spans="1:8" ht="24.95" customHeight="1">
      <c r="A16" s="537"/>
      <c r="B16" s="274" t="str">
        <f>Languages!B235</f>
        <v>Stairwells (Yes= -2, No= 0)</v>
      </c>
      <c r="C16" s="105"/>
      <c r="D16" s="540"/>
      <c r="E16" s="27" t="str">
        <f>IF(C16=yes,-2,IF(C16=no,0,"NA"))</f>
        <v>NA</v>
      </c>
      <c r="F16" s="487"/>
      <c r="G16" s="487"/>
      <c r="H16" s="467"/>
    </row>
    <row r="17" spans="1:8" ht="24.95" customHeight="1">
      <c r="A17" s="537"/>
      <c r="B17" s="274" t="str">
        <f>Languages!B236</f>
        <v>Elevator (Yes= -2, No= 0)</v>
      </c>
      <c r="C17" s="105"/>
      <c r="D17" s="540"/>
      <c r="E17" s="27" t="str">
        <f>IF(C17=yes,-2,IF(C17=no,0,"NA"))</f>
        <v>NA</v>
      </c>
      <c r="F17" s="487"/>
      <c r="G17" s="487"/>
      <c r="H17" s="467"/>
    </row>
    <row r="18" spans="1:8" ht="24.95" customHeight="1">
      <c r="A18" s="537"/>
      <c r="B18" s="274" t="str">
        <f>Languages!B237</f>
        <v>Toilets (Yes= -2, No= 0)</v>
      </c>
      <c r="C18" s="105"/>
      <c r="D18" s="540"/>
      <c r="E18" s="27" t="str">
        <f>IF(C18=yes,-2,IF(C18=no,0,"NA"))</f>
        <v>NA</v>
      </c>
      <c r="F18" s="487"/>
      <c r="G18" s="487"/>
      <c r="H18" s="467"/>
    </row>
    <row r="19" spans="1:8" ht="24.95" customHeight="1">
      <c r="A19" s="537"/>
      <c r="B19" s="274" t="str">
        <f>Languages!B238</f>
        <v>Parking area (Yes= -2, No= 0)</v>
      </c>
      <c r="C19" s="105"/>
      <c r="D19" s="540"/>
      <c r="E19" s="27" t="str">
        <f>IF(C19=yes,-2,IF(C19=no,0,"NA"))</f>
        <v>NA</v>
      </c>
      <c r="F19" s="487"/>
      <c r="G19" s="487"/>
      <c r="H19" s="467"/>
    </row>
    <row r="20" spans="1:8" ht="24.95" customHeight="1">
      <c r="A20" s="538"/>
      <c r="B20" s="274" t="str">
        <f>Languages!B239</f>
        <v>Outside of entrance for pedestrians + cars (Yes= -2, No= 0)</v>
      </c>
      <c r="C20" s="105"/>
      <c r="D20" s="541"/>
      <c r="E20" s="27" t="str">
        <f>IF(C20=yes,-2,IF(C20=no,0,"NA"))</f>
        <v>NA</v>
      </c>
      <c r="F20" s="488"/>
      <c r="G20" s="488"/>
      <c r="H20" s="468"/>
    </row>
    <row r="21" spans="1:8" ht="24.95" customHeight="1">
      <c r="A21" s="536" t="s">
        <v>9</v>
      </c>
      <c r="B21" s="273" t="str">
        <f>Languages!B240</f>
        <v>Poor quality of paint work</v>
      </c>
      <c r="C21" s="22"/>
      <c r="D21" s="539">
        <v>-8</v>
      </c>
      <c r="E21" s="16" t="str">
        <f>IF(ISERROR(E22+E23+E24+E25),"NA",SUM(E22:E25))</f>
        <v>NA</v>
      </c>
      <c r="F21" s="486">
        <f>D21/$F$4*$F$6</f>
        <v>-2</v>
      </c>
      <c r="G21" s="486">
        <f>IF(ISNUMBER(E21),E21/$F$4*$F$6,0)</f>
        <v>0</v>
      </c>
      <c r="H21" s="466"/>
    </row>
    <row r="22" spans="1:8" ht="24.95" customHeight="1">
      <c r="A22" s="537"/>
      <c r="B22" s="274" t="str">
        <f>Languages!B241</f>
        <v>Stairwells (Yes= -2, No= 0)</v>
      </c>
      <c r="C22" s="105"/>
      <c r="D22" s="540"/>
      <c r="E22" s="27" t="str">
        <f>IF(C22=yes,-2,IF(C22=no,0,"NA"))</f>
        <v>NA</v>
      </c>
      <c r="F22" s="487"/>
      <c r="G22" s="487"/>
      <c r="H22" s="467"/>
    </row>
    <row r="23" spans="1:8" ht="24.95" customHeight="1">
      <c r="A23" s="537"/>
      <c r="B23" s="274" t="str">
        <f>Languages!B242</f>
        <v>Elevator (Yes= -2, No= 0)</v>
      </c>
      <c r="C23" s="105"/>
      <c r="D23" s="540"/>
      <c r="E23" s="27" t="str">
        <f>IF(C23=yes,-2,IF(C23=no,0,"NA"))</f>
        <v>NA</v>
      </c>
      <c r="F23" s="487"/>
      <c r="G23" s="487"/>
      <c r="H23" s="467"/>
    </row>
    <row r="24" spans="1:8" ht="24.95" customHeight="1">
      <c r="A24" s="537"/>
      <c r="B24" s="274" t="str">
        <f>Languages!B243</f>
        <v>Parking area (Yes= -2, No= 0)</v>
      </c>
      <c r="C24" s="105"/>
      <c r="D24" s="540"/>
      <c r="E24" s="27" t="str">
        <f>IF(C24=yes,-2,IF(C24=no,0,"NA"))</f>
        <v>NA</v>
      </c>
      <c r="F24" s="487"/>
      <c r="G24" s="487"/>
      <c r="H24" s="467"/>
    </row>
    <row r="25" spans="1:8" ht="24.95" customHeight="1">
      <c r="A25" s="543"/>
      <c r="B25" s="274" t="str">
        <f>Languages!B244</f>
        <v>Poor quality horizontal markings (Yes= -2, No= 0)</v>
      </c>
      <c r="C25" s="105"/>
      <c r="D25" s="541"/>
      <c r="E25" s="27" t="str">
        <f>IF(C25=yes,-2,IF(C25=no,0,"NA"))</f>
        <v>NA</v>
      </c>
      <c r="F25" s="488"/>
      <c r="G25" s="488"/>
      <c r="H25" s="468"/>
    </row>
    <row r="26" spans="1:8" ht="24.95" customHeight="1">
      <c r="A26" s="544" t="s">
        <v>10</v>
      </c>
      <c r="B26" s="275" t="str">
        <f>Languages!B245</f>
        <v xml:space="preserve">Poor quality/lack of maintenance (pot holes ,damages) </v>
      </c>
      <c r="C26" s="157"/>
      <c r="D26" s="449">
        <v>-6</v>
      </c>
      <c r="E26" s="16" t="str">
        <f>IF(ISERROR(E27+E28+E29),"NA",SUM(E27:E29))</f>
        <v>NA</v>
      </c>
      <c r="F26" s="547">
        <f>D26/$F$4*$F$6</f>
        <v>-1.5</v>
      </c>
      <c r="G26" s="547">
        <f>IF(ISNUMBER(E26),E26/$F$4*$F$6,0)</f>
        <v>0</v>
      </c>
      <c r="H26" s="460"/>
    </row>
    <row r="27" spans="1:8" ht="24.95" customHeight="1">
      <c r="A27" s="545"/>
      <c r="B27" s="276" t="str">
        <f>Languages!B246</f>
        <v>Floors (Yes= -2, No= 0)</v>
      </c>
      <c r="C27" s="105"/>
      <c r="D27" s="459"/>
      <c r="E27" s="27" t="str">
        <f>IF(C27=yes,-2,IF(C27=no,0,"NA"))</f>
        <v>NA</v>
      </c>
      <c r="F27" s="458"/>
      <c r="G27" s="458"/>
      <c r="H27" s="461"/>
    </row>
    <row r="28" spans="1:8" ht="24.95" customHeight="1">
      <c r="A28" s="545"/>
      <c r="B28" s="276" t="str">
        <f>Languages!B247</f>
        <v>Walls (Yes= -2, No= 0)</v>
      </c>
      <c r="C28" s="105"/>
      <c r="D28" s="459"/>
      <c r="E28" s="27" t="str">
        <f>IF(C28=yes,-2,IF(C28=no,0,"NA"))</f>
        <v>NA</v>
      </c>
      <c r="F28" s="458"/>
      <c r="G28" s="458"/>
      <c r="H28" s="461"/>
    </row>
    <row r="29" spans="1:8" ht="24.95" customHeight="1">
      <c r="A29" s="546"/>
      <c r="B29" s="276" t="str">
        <f>Languages!B248</f>
        <v>Evidence of standing water (Yes= -2, No= 0)</v>
      </c>
      <c r="C29" s="105"/>
      <c r="D29" s="450"/>
      <c r="E29" s="27" t="str">
        <f>IF(C29=yes,-2,IF(C29=no,0,"NA"))</f>
        <v>NA</v>
      </c>
      <c r="F29" s="548"/>
      <c r="G29" s="548"/>
      <c r="H29" s="462"/>
    </row>
    <row r="30" spans="1:8" ht="24.95" customHeight="1">
      <c r="A30" s="544" t="s">
        <v>516</v>
      </c>
      <c r="B30" s="275" t="str">
        <f>Languages!B249</f>
        <v>Evidence of bad smells</v>
      </c>
      <c r="C30" s="157"/>
      <c r="D30" s="449">
        <v>-6</v>
      </c>
      <c r="E30" s="16" t="str">
        <f>IF(ISERROR(E31+E32+E33),"NA",SUM(E31:E33))</f>
        <v>NA</v>
      </c>
      <c r="F30" s="547">
        <f>D30/$F$4*$F$6</f>
        <v>-1.5</v>
      </c>
      <c r="G30" s="547">
        <f>IF(ISNUMBER(E30),E30/$F$4*$F$6,0)</f>
        <v>0</v>
      </c>
      <c r="H30" s="460"/>
    </row>
    <row r="31" spans="1:8" ht="24.95" customHeight="1">
      <c r="A31" s="545"/>
      <c r="B31" s="276" t="str">
        <f>Languages!B250</f>
        <v>Elevators (Yes= -2, No= 0)</v>
      </c>
      <c r="C31" s="105"/>
      <c r="D31" s="459"/>
      <c r="E31" s="27" t="str">
        <f>IF(C31=yes,-2,IF(C31=no,0,"NA"))</f>
        <v>NA</v>
      </c>
      <c r="F31" s="458"/>
      <c r="G31" s="458"/>
      <c r="H31" s="461"/>
    </row>
    <row r="32" spans="1:8" ht="24.95" customHeight="1">
      <c r="A32" s="545"/>
      <c r="B32" s="276" t="str">
        <f>Languages!B251</f>
        <v>Stairwells (Yes= -2, No= 0)</v>
      </c>
      <c r="C32" s="105"/>
      <c r="D32" s="459"/>
      <c r="E32" s="27" t="str">
        <f>IF(C32=yes,-2,IF(C32=no,0,"NA"))</f>
        <v>NA</v>
      </c>
      <c r="F32" s="458"/>
      <c r="G32" s="458"/>
      <c r="H32" s="461"/>
    </row>
    <row r="33" spans="1:8" ht="24.95" customHeight="1">
      <c r="A33" s="546"/>
      <c r="B33" s="276" t="str">
        <f>Languages!B252</f>
        <v>Parking deck (Yes= -2, No= 0)</v>
      </c>
      <c r="C33" s="105"/>
      <c r="D33" s="450"/>
      <c r="E33" s="27" t="str">
        <f>IF(C33=yes,-2,IF(C33=no,0,"NA"))</f>
        <v>NA</v>
      </c>
      <c r="F33" s="548"/>
      <c r="G33" s="548"/>
      <c r="H33" s="462"/>
    </row>
    <row r="34" spans="1:8" ht="36" customHeight="1">
      <c r="A34" s="270" t="s">
        <v>11</v>
      </c>
      <c r="B34" s="277" t="str">
        <f>Languages!B253</f>
        <v>Over 15% of parking spaces in cul-de-sac without occupancy indication. (Yes= -5, No=0)</v>
      </c>
      <c r="C34" s="100"/>
      <c r="D34" s="15">
        <v>-5</v>
      </c>
      <c r="E34" s="15" t="str">
        <f>IF(C34=yes,-5,IF(C34=no,0,"NA"))</f>
        <v>NA</v>
      </c>
      <c r="F34" s="65">
        <f>D34/$F$4*$F$6</f>
        <v>-1.25</v>
      </c>
      <c r="G34" s="65">
        <f>IF(ISNUMBER(E34),E34/$F$4*$F$6,0)</f>
        <v>0</v>
      </c>
      <c r="H34" s="169"/>
    </row>
    <row r="35" spans="1:8" ht="36" customHeight="1">
      <c r="A35" s="270" t="s">
        <v>77</v>
      </c>
      <c r="B35" s="277" t="str">
        <f>Languages!B254</f>
        <v>Various points of criticism (to explain!)
[E.g. hollow sound, squeaking tyres, unintended visitors, etc.] up to -10</v>
      </c>
      <c r="C35" s="110"/>
      <c r="D35" s="15">
        <v>-10</v>
      </c>
      <c r="E35" s="15" t="str">
        <f>IF(ISNUMBER(C35),C35,"NA")</f>
        <v>NA</v>
      </c>
      <c r="F35" s="65">
        <f>D35/$F$4*$F$6</f>
        <v>-2.5</v>
      </c>
      <c r="G35" s="65">
        <f>IF(ISNUMBER(E35),E35/$F$4*$F$6,0)</f>
        <v>0</v>
      </c>
      <c r="H35" s="169"/>
    </row>
    <row r="36" spans="1:8" ht="24.95" customHeight="1">
      <c r="A36" s="270" t="s">
        <v>1801</v>
      </c>
      <c r="B36" s="277" t="str">
        <f>Languages!B255</f>
        <v>Penalty for Mandatory Condition 1.4 Applies</v>
      </c>
      <c r="C36" s="110"/>
      <c r="D36" s="15">
        <v>-5</v>
      </c>
      <c r="E36" s="15" t="str">
        <f>IF(C36=yes,-5,IF(C36=no,0,"NA"))</f>
        <v>NA</v>
      </c>
      <c r="F36" s="65">
        <f>D36/$F$4*$F$6</f>
        <v>-1.25</v>
      </c>
      <c r="G36" s="65">
        <f>IF(ISNUMBER(E36),E36/$F$4*$F$6,0)</f>
        <v>0</v>
      </c>
      <c r="H36" s="169"/>
    </row>
    <row r="37" spans="1:8" ht="24.95" customHeight="1">
      <c r="A37" s="271"/>
      <c r="B37" s="278" t="str">
        <f>CONCATENATE(Tags!$B$50," ",$B$1)</f>
        <v>Subtotals Minus Points</v>
      </c>
      <c r="C37" s="37"/>
      <c r="D37" s="2">
        <f>SUM(D9:D36)</f>
        <v>-60</v>
      </c>
      <c r="E37" s="25">
        <f>SUM(E34:E35,E30,E26,E21,E15,E9)</f>
        <v>0</v>
      </c>
      <c r="F37" s="9">
        <f>SUM(F9:F35)</f>
        <v>-13.75</v>
      </c>
      <c r="G37" s="61">
        <f>SUM(G9:G35)</f>
        <v>0</v>
      </c>
      <c r="H37" s="173"/>
    </row>
    <row r="38" spans="1:8" ht="24" customHeight="1"/>
    <row r="39" spans="1:8" ht="15">
      <c r="A39" s="175" t="str">
        <f>Tags!B60</f>
        <v>Notes</v>
      </c>
    </row>
    <row r="40" spans="1:8"/>
    <row r="41" spans="1:8"/>
    <row r="42" spans="1:8"/>
    <row r="43" spans="1:8"/>
    <row r="44" spans="1:8"/>
    <row r="45" spans="1:8"/>
    <row r="46" spans="1:8"/>
    <row r="47" spans="1:8"/>
    <row r="48" spans="1:8"/>
    <row r="49"/>
    <row r="50"/>
    <row r="51"/>
    <row r="52"/>
    <row r="53"/>
    <row r="54"/>
    <row r="55"/>
    <row r="56"/>
  </sheetData>
  <sheetProtection algorithmName="SHA-512" hashValue="ymL0LT/QeaPqkJluZjftN1CxLzlA2e34vmcbN7UjxaY+oHRMdF5Yn8sSsKqM1MMMXS3ogVX5G1WtLXD6mKJQWA==" saltValue="32yLHxrlVJwjPAKB3jmslA==" spinCount="100000" sheet="1" objects="1" scenarios="1" formatRows="0" selectLockedCells="1"/>
  <mergeCells count="25">
    <mergeCell ref="A26:A29"/>
    <mergeCell ref="D26:D29"/>
    <mergeCell ref="F26:F29"/>
    <mergeCell ref="G26:G29"/>
    <mergeCell ref="H26:H29"/>
    <mergeCell ref="A30:A33"/>
    <mergeCell ref="D30:D33"/>
    <mergeCell ref="F30:F33"/>
    <mergeCell ref="G30:G33"/>
    <mergeCell ref="H30:H33"/>
    <mergeCell ref="H21:H25"/>
    <mergeCell ref="H9:H14"/>
    <mergeCell ref="A15:A20"/>
    <mergeCell ref="D15:D20"/>
    <mergeCell ref="F15:F20"/>
    <mergeCell ref="G15:G20"/>
    <mergeCell ref="H15:H20"/>
    <mergeCell ref="A9:A14"/>
    <mergeCell ref="D9:D14"/>
    <mergeCell ref="F9:F14"/>
    <mergeCell ref="G9:G14"/>
    <mergeCell ref="A21:A25"/>
    <mergeCell ref="D21:D25"/>
    <mergeCell ref="F21:F25"/>
    <mergeCell ref="G21:G25"/>
  </mergeCells>
  <phoneticPr fontId="24" type="noConversion"/>
  <conditionalFormatting sqref="C9">
    <cfRule type="expression" dxfId="20" priority="28">
      <formula>($C$9="Yes")</formula>
    </cfRule>
  </conditionalFormatting>
  <conditionalFormatting sqref="C9">
    <cfRule type="expression" dxfId="19" priority="27">
      <formula>($C$10="Yes")</formula>
    </cfRule>
  </conditionalFormatting>
  <conditionalFormatting sqref="C15">
    <cfRule type="expression" dxfId="18" priority="21">
      <formula>($C$9="Yes")</formula>
    </cfRule>
  </conditionalFormatting>
  <conditionalFormatting sqref="C15">
    <cfRule type="expression" dxfId="17" priority="20">
      <formula>($C$10="Yes")</formula>
    </cfRule>
  </conditionalFormatting>
  <conditionalFormatting sqref="C21">
    <cfRule type="expression" dxfId="16" priority="19">
      <formula>($C$9="Yes")</formula>
    </cfRule>
  </conditionalFormatting>
  <conditionalFormatting sqref="C21">
    <cfRule type="expression" dxfId="15" priority="18">
      <formula>($C$10="Yes")</formula>
    </cfRule>
  </conditionalFormatting>
  <conditionalFormatting sqref="C26">
    <cfRule type="expression" dxfId="14" priority="17">
      <formula>($C$9="Yes")</formula>
    </cfRule>
  </conditionalFormatting>
  <conditionalFormatting sqref="C30">
    <cfRule type="expression" dxfId="13" priority="16">
      <formula>($C$9="Yes")</formula>
    </cfRule>
  </conditionalFormatting>
  <dataValidations count="3">
    <dataValidation type="whole" showInputMessage="1" showErrorMessage="1" sqref="C35">
      <formula1>-10</formula1>
      <formula2>0</formula2>
    </dataValidation>
    <dataValidation type="list" allowBlank="1" showInputMessage="1" showErrorMessage="1" sqref="C10:C14 C16:C20 C22:C25 C27:C29 C31:C34">
      <formula1>YesNo</formula1>
    </dataValidation>
    <dataValidation type="list" showInputMessage="1" showErrorMessage="1" sqref="C36">
      <formula1>YesNo</formula1>
    </dataValidation>
  </dataValidations>
  <printOptions horizontalCentered="1"/>
  <pageMargins left="0.51314960629921258" right="0.51314960629921258" top="0.75000000000000011" bottom="0.75000000000000011" header="0.31" footer="0.31"/>
  <pageSetup paperSize="9" scale="48" orientation="portrait" horizontalDpi="300" verticalDpi="300"/>
  <headerFooter>
    <oddHeader>&amp;L&amp;"Calibri,Bold"&amp;K000000EPA - Checklist for the European Standard Parking Award</oddHeader>
    <oddFooter>&amp;L&amp;K000000[File]&amp;A</oddFooter>
  </headerFooter>
  <drawing r:id="rId1"/>
  <extLst>
    <ext xmlns:x14="http://schemas.microsoft.com/office/spreadsheetml/2009/9/main" uri="{78C0D931-6437-407d-A8EE-F0AAD7539E65}">
      <x14:conditionalFormattings>
        <x14:conditionalFormatting xmlns:xm="http://schemas.microsoft.com/office/excel/2006/main">
          <x14:cfRule type="expression" priority="4" id="{5D853F76-A739-9540-A3E7-BFD13248162C}">
            <xm:f>$D$1=Tags!$B$21</xm:f>
            <x14:dxf>
              <font>
                <color rgb="FF9C0006"/>
              </font>
            </x14:dxf>
          </x14:cfRule>
          <xm:sqref>D1</xm:sqref>
        </x14:conditionalFormatting>
        <x14:conditionalFormatting xmlns:xm="http://schemas.microsoft.com/office/excel/2006/main">
          <x14:cfRule type="expression" priority="3" id="{938677C2-21DD-3146-BC1B-9C965326CBF9}">
            <xm:f>$D$1=Tags!$B$21</xm:f>
            <x14:dxf>
              <font>
                <color rgb="FF9C0006"/>
              </font>
            </x14:dxf>
          </x14:cfRule>
          <xm:sqref>E1</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I47"/>
  <sheetViews>
    <sheetView showGridLines="0" workbookViewId="0">
      <pane ySplit="8" topLeftCell="A9" activePane="bottomLeft" state="frozenSplit"/>
      <selection activeCell="C11" sqref="C11:E11"/>
      <selection pane="bottomLeft" activeCell="C25" sqref="C25"/>
    </sheetView>
  </sheetViews>
  <sheetFormatPr baseColWidth="10" defaultColWidth="0" defaultRowHeight="14.25" zeroHeight="1"/>
  <cols>
    <col min="1" max="1" width="4.86328125" style="6" customWidth="1"/>
    <col min="2" max="2" width="58" style="6" customWidth="1"/>
    <col min="3" max="3" width="15.265625" style="6" customWidth="1"/>
    <col min="4" max="5" width="11" style="6" customWidth="1"/>
    <col min="6" max="6" width="15.86328125" style="6" customWidth="1"/>
    <col min="7" max="7" width="12.3984375" style="6" customWidth="1"/>
    <col min="8" max="8" width="48.3984375" style="6" customWidth="1"/>
    <col min="9" max="9" width="0.3984375" style="6" customWidth="1"/>
    <col min="10" max="16384" width="8.86328125" style="6" hidden="1"/>
  </cols>
  <sheetData>
    <row r="1" spans="1:8" s="24" customFormat="1" ht="27.95" customHeight="1" thickBot="1">
      <c r="A1" s="284" t="s">
        <v>12</v>
      </c>
      <c r="B1" s="118" t="s">
        <v>186</v>
      </c>
      <c r="C1" s="285"/>
      <c r="D1" s="286"/>
      <c r="E1" s="287" t="str">
        <f>IF(C6&gt;0,Tags!B21,Tags!B20)</f>
        <v>Incompleted</v>
      </c>
      <c r="F1" s="288" t="s">
        <v>485</v>
      </c>
      <c r="G1" s="289">
        <f>F5*F6</f>
        <v>0</v>
      </c>
      <c r="H1" s="290">
        <f>F5</f>
        <v>0</v>
      </c>
    </row>
    <row r="2" spans="1:8" s="24" customFormat="1" ht="12.95" customHeight="1"/>
    <row r="3" spans="1:8" s="24" customFormat="1" ht="12.95" customHeight="1">
      <c r="B3" s="132" t="str">
        <f>Tags!B30</f>
        <v>Total Items</v>
      </c>
      <c r="C3" s="123">
        <v>7</v>
      </c>
      <c r="E3" s="132" t="str">
        <f>Tags!B34</f>
        <v>Score</v>
      </c>
      <c r="F3" s="133">
        <f>E26</f>
        <v>0</v>
      </c>
      <c r="G3" s="44"/>
      <c r="H3" s="44"/>
    </row>
    <row r="4" spans="1:8" s="24" customFormat="1" ht="12.95" customHeight="1">
      <c r="B4" s="132" t="str">
        <f>Tags!B31</f>
        <v>Total Items + SubItems</v>
      </c>
      <c r="C4" s="123">
        <v>16</v>
      </c>
      <c r="E4" s="132" t="str">
        <f>Tags!B35</f>
        <v>Maximum Score</v>
      </c>
      <c r="F4" s="133">
        <f>D26</f>
        <v>33</v>
      </c>
      <c r="G4" s="44"/>
      <c r="H4" s="44"/>
    </row>
    <row r="5" spans="1:8" s="24" customFormat="1" ht="12.95" customHeight="1">
      <c r="B5" s="132" t="str">
        <f>Tags!B32</f>
        <v>Itens Completed</v>
      </c>
      <c r="C5" s="133">
        <f>COUNTA(C10:C25)</f>
        <v>0</v>
      </c>
      <c r="E5" s="132" t="str">
        <f>Tags!B36</f>
        <v>Percentage</v>
      </c>
      <c r="F5" s="134">
        <f>F3/F4</f>
        <v>0</v>
      </c>
      <c r="G5" s="135"/>
      <c r="H5" s="135"/>
    </row>
    <row r="6" spans="1:8" s="24" customFormat="1" ht="12.95" customHeight="1">
      <c r="B6" s="132" t="str">
        <f>Tags!B33</f>
        <v>Not measured</v>
      </c>
      <c r="C6" s="133">
        <f>C4-C5</f>
        <v>16</v>
      </c>
      <c r="E6" s="132" t="str">
        <f>Tags!B37</f>
        <v>Category Value</v>
      </c>
      <c r="F6" s="133">
        <f>Evaluation!K19</f>
        <v>15</v>
      </c>
      <c r="G6" s="44"/>
      <c r="H6" s="44"/>
    </row>
    <row r="7" spans="1:8" s="24" customFormat="1" ht="12.95" customHeight="1"/>
    <row r="8" spans="1:8" ht="51.95" customHeight="1">
      <c r="A8" s="281" t="s">
        <v>12</v>
      </c>
      <c r="B8" s="17" t="str">
        <f>Tags!B55</f>
        <v>Item List</v>
      </c>
      <c r="C8" s="89" t="str">
        <f>Tags!B56</f>
        <v>Measured value</v>
      </c>
      <c r="D8" s="8" t="str">
        <f>E4</f>
        <v>Maximum Score</v>
      </c>
      <c r="E8" s="8" t="str">
        <f>E3</f>
        <v>Score</v>
      </c>
      <c r="F8" s="8" t="str">
        <f>Tags!D57</f>
        <v>Maximum Contribuition for Final Score</v>
      </c>
      <c r="G8" s="8" t="str">
        <f>Tags!D58</f>
        <v>Contribuition for Final Score</v>
      </c>
      <c r="H8" s="8" t="str">
        <f>Tags!D59</f>
        <v>Remarks</v>
      </c>
    </row>
    <row r="9" spans="1:8" ht="24.95" customHeight="1">
      <c r="A9" s="542" t="s">
        <v>13</v>
      </c>
      <c r="B9" s="273" t="str">
        <f>Languages!B257</f>
        <v>Extra provisions in car park</v>
      </c>
      <c r="C9" s="22"/>
      <c r="D9" s="539">
        <v>10</v>
      </c>
      <c r="E9" s="16" t="str">
        <f>IF(ISERROR(E10+E11+E12+E13+E14+E15+E16+E17+E18+E19),"NA",SUM(E10:E19))</f>
        <v>NA</v>
      </c>
      <c r="F9" s="486">
        <f>D9/$F$4*$F$6</f>
        <v>4.5454545454545459</v>
      </c>
      <c r="G9" s="486">
        <f>IF(ISNUMBER(E9),E9/$F$4*$F$6,0)</f>
        <v>0</v>
      </c>
      <c r="H9" s="528"/>
    </row>
    <row r="10" spans="1:8" ht="24.95" customHeight="1">
      <c r="A10" s="537"/>
      <c r="B10" s="274" t="str">
        <f>Languages!B258</f>
        <v>Special motorcycle area (Yes= 1, No= 0)</v>
      </c>
      <c r="C10" s="105"/>
      <c r="D10" s="540"/>
      <c r="E10" s="27" t="str">
        <f t="shared" ref="E10:E19" si="0">IF(C10=yes,1,IF(C10=no,0,"NA"))</f>
        <v>NA</v>
      </c>
      <c r="F10" s="487"/>
      <c r="G10" s="487"/>
      <c r="H10" s="467"/>
    </row>
    <row r="11" spans="1:8" ht="24.95" customHeight="1">
      <c r="A11" s="537"/>
      <c r="B11" s="274" t="str">
        <f>Languages!B259</f>
        <v>Lockers for customers’ use (Yes= 1, No= 0)</v>
      </c>
      <c r="C11" s="105"/>
      <c r="D11" s="540"/>
      <c r="E11" s="27" t="str">
        <f t="shared" si="0"/>
        <v>NA</v>
      </c>
      <c r="F11" s="487"/>
      <c r="G11" s="487"/>
      <c r="H11" s="467"/>
    </row>
    <row r="12" spans="1:8" ht="24.95" customHeight="1">
      <c r="A12" s="537"/>
      <c r="B12" s="274" t="str">
        <f>Languages!B260</f>
        <v>Other aids (Yes= 1, No= 0)</v>
      </c>
      <c r="C12" s="105"/>
      <c r="D12" s="540"/>
      <c r="E12" s="27" t="str">
        <f t="shared" si="0"/>
        <v>NA</v>
      </c>
      <c r="F12" s="487"/>
      <c r="G12" s="487"/>
      <c r="H12" s="467"/>
    </row>
    <row r="13" spans="1:8" ht="24.95" customHeight="1">
      <c r="A13" s="537"/>
      <c r="B13" s="274" t="str">
        <f>Languages!B261</f>
        <v>Bicycle rent (Yes= 1, No= 0)</v>
      </c>
      <c r="C13" s="105"/>
      <c r="D13" s="540"/>
      <c r="E13" s="27" t="str">
        <f t="shared" si="0"/>
        <v>NA</v>
      </c>
      <c r="F13" s="487"/>
      <c r="G13" s="487"/>
      <c r="H13" s="467"/>
    </row>
    <row r="14" spans="1:8" ht="24.95" customHeight="1">
      <c r="A14" s="537"/>
      <c r="B14" s="274" t="str">
        <f>Languages!B262</f>
        <v>Other Driver Assistance (Yes= 1, No= 0)</v>
      </c>
      <c r="C14" s="105"/>
      <c r="D14" s="540"/>
      <c r="E14" s="27" t="str">
        <f t="shared" si="0"/>
        <v>NA</v>
      </c>
      <c r="F14" s="487"/>
      <c r="G14" s="487"/>
      <c r="H14" s="467"/>
    </row>
    <row r="15" spans="1:8" ht="24.95" customHeight="1">
      <c r="A15" s="537"/>
      <c r="B15" s="274" t="str">
        <f>Languages!B263</f>
        <v>Vending Machines (Yes= 1, No= 0)</v>
      </c>
      <c r="C15" s="105"/>
      <c r="D15" s="540"/>
      <c r="E15" s="27" t="str">
        <f t="shared" si="0"/>
        <v>NA</v>
      </c>
      <c r="F15" s="487"/>
      <c r="G15" s="487"/>
      <c r="H15" s="467"/>
    </row>
    <row r="16" spans="1:8" ht="24.95" customHeight="1">
      <c r="A16" s="537"/>
      <c r="B16" s="274" t="str">
        <f>Languages!B264</f>
        <v>Heart Defibrillator (Yes= 1, No= 0)</v>
      </c>
      <c r="C16" s="105"/>
      <c r="D16" s="540"/>
      <c r="E16" s="27" t="str">
        <f t="shared" si="0"/>
        <v>NA</v>
      </c>
      <c r="F16" s="487"/>
      <c r="G16" s="487"/>
      <c r="H16" s="467"/>
    </row>
    <row r="17" spans="1:8" ht="24.95" customHeight="1">
      <c r="A17" s="537"/>
      <c r="B17" s="274" t="str">
        <f>Languages!B265</f>
        <v>First aid trained staff (Yes= 1, No= 0)</v>
      </c>
      <c r="C17" s="105"/>
      <c r="D17" s="540"/>
      <c r="E17" s="27" t="str">
        <f t="shared" si="0"/>
        <v>NA</v>
      </c>
      <c r="F17" s="487"/>
      <c r="G17" s="487"/>
      <c r="H17" s="467"/>
    </row>
    <row r="18" spans="1:8" ht="24.95" customHeight="1">
      <c r="A18" s="537"/>
      <c r="B18" s="274" t="str">
        <f>Languages!B266</f>
        <v>Real time traffic data (Yes= 1, No= 0)</v>
      </c>
      <c r="C18" s="105"/>
      <c r="D18" s="540"/>
      <c r="E18" s="27" t="str">
        <f t="shared" si="0"/>
        <v>NA</v>
      </c>
      <c r="F18" s="487"/>
      <c r="G18" s="487"/>
      <c r="H18" s="467"/>
    </row>
    <row r="19" spans="1:8" ht="24.95" customHeight="1">
      <c r="A19" s="543"/>
      <c r="B19" s="274" t="str">
        <f>Languages!B267</f>
        <v>Other real time accessible information (e.g. local events) (Yes= 1, No= 0)</v>
      </c>
      <c r="C19" s="105"/>
      <c r="D19" s="541"/>
      <c r="E19" s="27" t="str">
        <f t="shared" si="0"/>
        <v>NA</v>
      </c>
      <c r="F19" s="550"/>
      <c r="G19" s="550"/>
      <c r="H19" s="549"/>
    </row>
    <row r="20" spans="1:8" ht="36" customHeight="1">
      <c r="A20" s="270" t="s">
        <v>14</v>
      </c>
      <c r="B20" s="277" t="str">
        <f>Languages!B268</f>
        <v>Measures to avoid traffic queues at peak hours (i.e. tidal lane at car entry/exit) - (Yes= 3, No= 0)</v>
      </c>
      <c r="C20" s="110"/>
      <c r="D20" s="15">
        <v>3</v>
      </c>
      <c r="E20" s="16" t="str">
        <f>IF(C20=yes,3,IF(C20=yes,0,"NA"))</f>
        <v>NA</v>
      </c>
      <c r="F20" s="71">
        <f>D20/$F$4*$F$6</f>
        <v>1.3636363636363638</v>
      </c>
      <c r="G20" s="71">
        <f>IF(ISNUMBER(E20),E20/$F$4*$F$6,0)</f>
        <v>0</v>
      </c>
      <c r="H20" s="144"/>
    </row>
    <row r="21" spans="1:8" ht="36" customHeight="1">
      <c r="A21" s="270" t="s">
        <v>15</v>
      </c>
      <c r="B21" s="277" t="str">
        <f>Languages!B269</f>
        <v>Turn around possibility for cars before height barrier or full sign to prevent reversing (Yes= 3, No= 0)</v>
      </c>
      <c r="C21" s="110"/>
      <c r="D21" s="15">
        <v>3</v>
      </c>
      <c r="E21" s="16" t="str">
        <f>IF(C21=yes,3,IF(C21=yes,0,"NA"))</f>
        <v>NA</v>
      </c>
      <c r="F21" s="71">
        <f t="shared" ref="F21:F25" si="1">D21/$F$4*$F$6</f>
        <v>1.3636363636363638</v>
      </c>
      <c r="G21" s="71">
        <f t="shared" ref="G21:G25" si="2">IF(ISNUMBER(E21),E21/$F$4*$F$6,0)</f>
        <v>0</v>
      </c>
      <c r="H21" s="144"/>
    </row>
    <row r="22" spans="1:8" ht="24.95" customHeight="1">
      <c r="A22" s="270" t="s">
        <v>16</v>
      </c>
      <c r="B22" s="277" t="str">
        <f>Languages!B270</f>
        <v>Customer service desk (Yes= 1, No= 0)</v>
      </c>
      <c r="C22" s="110"/>
      <c r="D22" s="15">
        <v>1</v>
      </c>
      <c r="E22" s="16" t="str">
        <f>IF(C22=yes,1,IF(C22=yes,0,"NA"))</f>
        <v>NA</v>
      </c>
      <c r="F22" s="71">
        <f t="shared" si="1"/>
        <v>0.45454545454545459</v>
      </c>
      <c r="G22" s="71">
        <f t="shared" si="2"/>
        <v>0</v>
      </c>
      <c r="H22" s="144"/>
    </row>
    <row r="23" spans="1:8" ht="48.95" customHeight="1">
      <c r="A23" s="272" t="s">
        <v>108</v>
      </c>
      <c r="B23" s="279" t="str">
        <f>Languages!B271</f>
        <v>Escalators and/or travellators
(To/from all levels =5, To/from some levels =3, No Escalators or Travellators = 0)</v>
      </c>
      <c r="C23" s="100"/>
      <c r="D23" s="23">
        <v>5</v>
      </c>
      <c r="E23" s="32" t="str">
        <f>IF(C23=Options!B190,5,IF(C23=Options!B191,3,IF(C23=Options!B192,0,"NA")))</f>
        <v>NA</v>
      </c>
      <c r="F23" s="71">
        <f t="shared" si="1"/>
        <v>2.2727272727272729</v>
      </c>
      <c r="G23" s="71">
        <f t="shared" si="2"/>
        <v>0</v>
      </c>
      <c r="H23" s="169"/>
    </row>
    <row r="24" spans="1:8" s="24" customFormat="1" ht="36" customHeight="1">
      <c r="A24" s="272" t="s">
        <v>517</v>
      </c>
      <c r="B24" s="279" t="str">
        <f>Languages!B272</f>
        <v>Localisation of parked cars by ticket or license plate
(Yes= 1, No= 0)</v>
      </c>
      <c r="C24" s="110"/>
      <c r="D24" s="23">
        <v>1</v>
      </c>
      <c r="E24" s="36" t="str">
        <f>IF(C24=yes,1,IF(C24=yes,0,"NA"))</f>
        <v>NA</v>
      </c>
      <c r="F24" s="71">
        <f t="shared" si="1"/>
        <v>0.45454545454545459</v>
      </c>
      <c r="G24" s="71">
        <f t="shared" si="2"/>
        <v>0</v>
      </c>
      <c r="H24" s="169"/>
    </row>
    <row r="25" spans="1:8" ht="48.95" customHeight="1">
      <c r="A25" s="270" t="s">
        <v>518</v>
      </c>
      <c r="B25" s="277" t="str">
        <f>Languages!B273</f>
        <v>Other positive points e.g. extra services, friendly staff, tiled walls/floors, good fit of the car park in cityscape etc up to ten additional bonus points. To be explicitly identified.</v>
      </c>
      <c r="C25" s="110"/>
      <c r="D25" s="15">
        <v>10</v>
      </c>
      <c r="E25" s="16" t="str">
        <f>IF(ISNUMBER(C25),C25,"NA")</f>
        <v>NA</v>
      </c>
      <c r="F25" s="71">
        <f t="shared" si="1"/>
        <v>4.5454545454545459</v>
      </c>
      <c r="G25" s="71">
        <f t="shared" si="2"/>
        <v>0</v>
      </c>
      <c r="H25" s="169"/>
    </row>
    <row r="26" spans="1:8" ht="24.95" customHeight="1">
      <c r="A26" s="271"/>
      <c r="B26" s="278" t="str">
        <f>CONCATENATE(Tags!$B$50," ",$B$1)</f>
        <v>Subtotals Bonus Points</v>
      </c>
      <c r="C26" s="174"/>
      <c r="D26" s="2">
        <f>SUM(D9:D25)</f>
        <v>33</v>
      </c>
      <c r="E26" s="25">
        <f>SUM(E20:E25,E9)</f>
        <v>0</v>
      </c>
      <c r="F26" s="9">
        <f>SUM(F9:F25)</f>
        <v>15.000000000000004</v>
      </c>
      <c r="G26" s="25">
        <f>SUM(G9:G25)</f>
        <v>0</v>
      </c>
      <c r="H26" s="176"/>
    </row>
    <row r="27" spans="1:8">
      <c r="A27" s="200"/>
      <c r="B27" s="282"/>
    </row>
    <row r="28" spans="1:8" ht="15">
      <c r="A28" s="283" t="str">
        <f>Tags!B60</f>
        <v>Notes</v>
      </c>
      <c r="B28" s="282"/>
    </row>
    <row r="29" spans="1:8">
      <c r="A29" s="200"/>
      <c r="B29" s="282"/>
    </row>
    <row r="30" spans="1:8">
      <c r="A30" s="200"/>
      <c r="B30" s="282"/>
    </row>
    <row r="31" spans="1:8">
      <c r="A31" s="200"/>
      <c r="B31" s="282"/>
    </row>
    <row r="32" spans="1:8">
      <c r="A32" s="200"/>
      <c r="B32" s="282"/>
    </row>
    <row r="33" spans="1:2">
      <c r="A33" s="200"/>
      <c r="B33" s="282"/>
    </row>
    <row r="34" spans="1:2">
      <c r="A34" s="200"/>
      <c r="B34" s="282"/>
    </row>
    <row r="35" spans="1:2">
      <c r="A35" s="200"/>
      <c r="B35" s="282"/>
    </row>
    <row r="36" spans="1:2">
      <c r="A36" s="200"/>
      <c r="B36" s="282"/>
    </row>
    <row r="37" spans="1:2">
      <c r="A37" s="200"/>
      <c r="B37" s="282"/>
    </row>
    <row r="38" spans="1:2">
      <c r="A38" s="282"/>
      <c r="B38" s="282"/>
    </row>
    <row r="39" spans="1:2">
      <c r="A39" s="282"/>
      <c r="B39" s="282"/>
    </row>
    <row r="40" spans="1:2">
      <c r="A40" s="282"/>
      <c r="B40" s="282"/>
    </row>
    <row r="41" spans="1:2">
      <c r="A41" s="282"/>
      <c r="B41" s="282"/>
    </row>
    <row r="42" spans="1:2">
      <c r="A42" s="282"/>
      <c r="B42" s="282"/>
    </row>
    <row r="43" spans="1:2"/>
    <row r="44" spans="1:2"/>
    <row r="45" spans="1:2"/>
    <row r="46" spans="1:2"/>
    <row r="47" spans="1:2"/>
  </sheetData>
  <sheetProtection algorithmName="SHA-512" hashValue="tjisdQRXf39Bwi1x5DG4y3HbqOG7bRRLJETnt9hL6Ad4mGOJQZ/oYuuE6SO4uE7FgXA39zYnFhZ2e3QQrdsuKA==" saltValue="FO5q6GNeDt1KZr/AQbpBvQ==" spinCount="100000" sheet="1" objects="1" scenarios="1" formatRows="0" selectLockedCells="1"/>
  <mergeCells count="5">
    <mergeCell ref="A9:A19"/>
    <mergeCell ref="H9:H19"/>
    <mergeCell ref="G9:G19"/>
    <mergeCell ref="F9:F19"/>
    <mergeCell ref="D9:D19"/>
  </mergeCells>
  <phoneticPr fontId="24" type="noConversion"/>
  <conditionalFormatting sqref="C9">
    <cfRule type="expression" dxfId="10" priority="19">
      <formula>($C$9="Yes")</formula>
    </cfRule>
  </conditionalFormatting>
  <conditionalFormatting sqref="C9">
    <cfRule type="expression" dxfId="9" priority="18">
      <formula>($C$10="Yes")</formula>
    </cfRule>
  </conditionalFormatting>
  <dataValidations count="2">
    <dataValidation type="whole" showInputMessage="1" showErrorMessage="1" sqref="C25">
      <formula1>0</formula1>
      <formula2>10</formula2>
    </dataValidation>
    <dataValidation type="list" allowBlank="1" showInputMessage="1" showErrorMessage="1" sqref="C10:C22 C24">
      <formula1>YesNo</formula1>
    </dataValidation>
  </dataValidations>
  <printOptions horizontalCentered="1"/>
  <pageMargins left="0.51314960629921258" right="0.51314960629921258" top="0.75000000000000011" bottom="0.75000000000000011" header="0.31" footer="0.31"/>
  <pageSetup paperSize="9" scale="48" orientation="portrait" horizontalDpi="300" verticalDpi="300"/>
  <headerFooter>
    <oddHeader>&amp;L&amp;"Calibri,Bold"&amp;K000000EPA - Checklist for the European Standard Parking Award</oddHeader>
    <oddFooter>&amp;L&amp;K000000[File]&amp;A</oddFooter>
  </headerFooter>
  <drawing r:id="rId1"/>
  <extLst>
    <ext xmlns:x14="http://schemas.microsoft.com/office/spreadsheetml/2009/9/main" uri="{78C0D931-6437-407d-A8EE-F0AAD7539E65}">
      <x14:conditionalFormattings>
        <x14:conditionalFormatting xmlns:xm="http://schemas.microsoft.com/office/excel/2006/main">
          <x14:cfRule type="expression" priority="4" id="{779370BF-1472-E14D-A8CB-FA54C45F2C64}">
            <xm:f>$D$1=Tags!$B$21</xm:f>
            <x14:dxf>
              <font>
                <color rgb="FF9C0006"/>
              </font>
            </x14:dxf>
          </x14:cfRule>
          <xm:sqref>D1</xm:sqref>
        </x14:conditionalFormatting>
        <x14:conditionalFormatting xmlns:xm="http://schemas.microsoft.com/office/excel/2006/main">
          <x14:cfRule type="expression" priority="3" id="{DE0613EC-099E-EB4B-90C6-8E3A36D9C45E}">
            <xm:f>$D$1=Tags!$B$21</xm:f>
            <x14:dxf>
              <font>
                <color rgb="FF9C0006"/>
              </font>
            </x14:dxf>
          </x14:cfRule>
          <xm:sqref>E1</xm:sqref>
        </x14:conditionalFormatting>
      </x14:conditionalFormattings>
    </ext>
    <ext xmlns:x14="http://schemas.microsoft.com/office/spreadsheetml/2009/9/main" uri="{CCE6A557-97BC-4b89-ADB6-D9C93CAAB3DF}">
      <x14:dataValidations xmlns:xm="http://schemas.microsoft.com/office/excel/2006/main" count="1">
        <x14:dataValidation type="list" allowBlank="1">
          <x14:formula1>
            <xm:f>Options!$B$190:$B$192</xm:f>
          </x14:formula1>
          <xm:sqref>C23</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I42"/>
  <sheetViews>
    <sheetView showGridLines="0" zoomScale="115" zoomScaleNormal="115" zoomScalePageLayoutView="115" workbookViewId="0">
      <pane ySplit="1" topLeftCell="A7" activePane="bottomLeft" state="frozenSplit"/>
      <selection activeCell="C16" sqref="C9:E25"/>
      <selection pane="bottomLeft" activeCell="C4" sqref="C4"/>
    </sheetView>
  </sheetViews>
  <sheetFormatPr baseColWidth="10" defaultColWidth="0" defaultRowHeight="13.5" zeroHeight="1"/>
  <cols>
    <col min="1" max="1" width="5.1328125" style="7" customWidth="1"/>
    <col min="2" max="2" width="49.265625" style="7" customWidth="1"/>
    <col min="3" max="4" width="13.86328125" style="7" customWidth="1"/>
    <col min="5" max="5" width="13.73046875" style="7" customWidth="1"/>
    <col min="6" max="6" width="10.86328125" style="7" customWidth="1"/>
    <col min="7" max="7" width="13.265625" style="7" customWidth="1"/>
    <col min="8" max="8" width="0.3984375" style="7" customWidth="1"/>
    <col min="9" max="16384" width="10.86328125" style="7" hidden="1"/>
  </cols>
  <sheetData>
    <row r="1" spans="1:9" ht="22.9" thickBot="1">
      <c r="A1" s="117" t="str">
        <f>Tags!B71</f>
        <v>Global Evaluation - Gold Award</v>
      </c>
      <c r="B1" s="118"/>
      <c r="C1" s="120"/>
      <c r="D1" s="118"/>
      <c r="E1" s="118"/>
      <c r="F1" s="121" t="str">
        <f>Tags!B49</f>
        <v>% Completion:</v>
      </c>
      <c r="G1" s="85">
        <f>C9/3</f>
        <v>0</v>
      </c>
    </row>
    <row r="2" spans="1:9">
      <c r="A2" s="209"/>
      <c r="B2" s="209"/>
      <c r="C2" s="209"/>
      <c r="D2" s="209"/>
      <c r="E2" s="209"/>
      <c r="F2" s="209"/>
      <c r="G2" s="209"/>
    </row>
    <row r="3" spans="1:9" ht="30" customHeight="1">
      <c r="A3" s="250" t="str">
        <f>Tags!B69</f>
        <v>Mandatory Conditions for Golden Award</v>
      </c>
      <c r="B3" s="251"/>
      <c r="C3" s="249" t="str">
        <f>'1. Mandatory Conditions'!C3</f>
        <v>Compliant</v>
      </c>
      <c r="D3" s="551" t="str">
        <f>Tags!B23</f>
        <v>Comments</v>
      </c>
      <c r="E3" s="552"/>
      <c r="F3" s="552"/>
      <c r="G3" s="553"/>
    </row>
    <row r="4" spans="1:9" ht="38.1" customHeight="1">
      <c r="A4" s="215" t="s">
        <v>18</v>
      </c>
      <c r="B4" s="216" t="str">
        <f>Languages!B7</f>
        <v>Minimum headroom = 2,00 m, generally in the public areas. Incidental lower obstacles must be clearly marked.</v>
      </c>
      <c r="C4" s="93"/>
      <c r="D4" s="576"/>
      <c r="E4" s="577"/>
      <c r="F4" s="577"/>
      <c r="G4" s="578"/>
    </row>
    <row r="5" spans="1:9" ht="24" customHeight="1">
      <c r="A5" s="215" t="s">
        <v>20</v>
      </c>
      <c r="B5" s="216" t="str">
        <f>Languages!B10</f>
        <v>70% of bays must be at least 2.40m wide.</v>
      </c>
      <c r="C5" s="93"/>
      <c r="D5" s="576"/>
      <c r="E5" s="577"/>
      <c r="F5" s="577"/>
      <c r="G5" s="578"/>
    </row>
    <row r="6" spans="1:9" ht="38.1" customHeight="1">
      <c r="A6" s="215" t="s">
        <v>1798</v>
      </c>
      <c r="B6" s="216" t="str">
        <f>Languages!B18</f>
        <v>Average light levels on parking area at floor is at minimum 50 Lux</v>
      </c>
      <c r="C6" s="93"/>
      <c r="D6" s="579"/>
      <c r="E6" s="580"/>
      <c r="F6" s="580"/>
      <c r="G6" s="581"/>
    </row>
    <row r="7" spans="1:9" ht="24" customHeight="1">
      <c r="A7" s="209"/>
      <c r="B7" s="209"/>
      <c r="C7" s="209"/>
      <c r="D7" s="209"/>
      <c r="E7" s="209"/>
      <c r="F7" s="209"/>
      <c r="G7" s="209"/>
    </row>
    <row r="8" spans="1:9" ht="54" customHeight="1">
      <c r="A8" s="582" t="str">
        <f>Tags!B39</f>
        <v>Category</v>
      </c>
      <c r="B8" s="583"/>
      <c r="C8" s="217" t="s">
        <v>431</v>
      </c>
      <c r="D8" s="217" t="s">
        <v>432</v>
      </c>
      <c r="E8" s="218"/>
      <c r="F8" s="219"/>
      <c r="G8" s="217" t="str">
        <f>G11</f>
        <v>Status</v>
      </c>
    </row>
    <row r="9" spans="1:9">
      <c r="A9" s="220">
        <v>1</v>
      </c>
      <c r="B9" s="221" t="str">
        <f>'1. Mandatory Conditions'!B1</f>
        <v>Mandatory Minimum Conditions</v>
      </c>
      <c r="C9" s="222">
        <f>COUNTIF($C$4:$C$6,Options!B20)</f>
        <v>0</v>
      </c>
      <c r="D9" s="222">
        <f>COUNTIF($C$4:$C$6,Options!B21)</f>
        <v>0</v>
      </c>
      <c r="E9" s="223"/>
      <c r="F9" s="219"/>
      <c r="G9" s="222" t="str">
        <f>IF(Evaluation!M4=pass,IF(D9&gt;0,fail,IF(C9=3,pass,incomplete)),Evaluation!M4)</f>
        <v>Fail</v>
      </c>
    </row>
    <row r="10" spans="1:9">
      <c r="A10" s="209"/>
      <c r="B10" s="209"/>
      <c r="C10" s="209"/>
      <c r="D10" s="209"/>
      <c r="E10" s="209"/>
      <c r="F10" s="209"/>
      <c r="G10" s="209"/>
    </row>
    <row r="11" spans="1:9" s="38" customFormat="1" ht="47.1" customHeight="1">
      <c r="A11" s="582" t="str">
        <f>A8</f>
        <v>Category</v>
      </c>
      <c r="B11" s="583"/>
      <c r="C11" s="224" t="str">
        <f>Tags!B44</f>
        <v>% Obtained</v>
      </c>
      <c r="D11" s="225" t="str">
        <f>Tags!B45</f>
        <v>Minimum</v>
      </c>
      <c r="E11" s="217" t="str">
        <f>Tags!B46</f>
        <v>Category Points</v>
      </c>
      <c r="F11" s="217" t="str">
        <f>Tags!B47</f>
        <v>Points Obtained</v>
      </c>
      <c r="G11" s="225" t="str">
        <f>Tags!B48</f>
        <v>Status</v>
      </c>
    </row>
    <row r="12" spans="1:9" s="24" customFormat="1" ht="15" customHeight="1">
      <c r="A12" s="226">
        <f>'2. Lighting'!$A$1</f>
        <v>2</v>
      </c>
      <c r="B12" s="227" t="str">
        <f>'2. Lighting'!$B$1</f>
        <v>Lighting</v>
      </c>
      <c r="C12" s="228">
        <f>Evaluation!I7</f>
        <v>0</v>
      </c>
      <c r="D12" s="229">
        <v>0.5</v>
      </c>
      <c r="E12" s="230">
        <v>16</v>
      </c>
      <c r="F12" s="231">
        <f>C12*E12</f>
        <v>0</v>
      </c>
      <c r="G12" s="232" t="str">
        <f t="shared" ref="G12:G20" si="0">IF(C12&gt;D12,pass,fail)</f>
        <v>Fail</v>
      </c>
      <c r="H12" s="38"/>
      <c r="I12" s="38"/>
    </row>
    <row r="13" spans="1:9" s="24" customFormat="1" ht="15" customHeight="1">
      <c r="A13" s="233">
        <f>'3. Entry Exit'!$A$1</f>
        <v>3</v>
      </c>
      <c r="B13" s="219" t="str">
        <f>'3. Entry Exit'!$B$1</f>
        <v>Car Entry / Car Exit</v>
      </c>
      <c r="C13" s="234">
        <f>Evaluation!I8</f>
        <v>0</v>
      </c>
      <c r="D13" s="235">
        <v>0.5</v>
      </c>
      <c r="E13" s="236">
        <v>8</v>
      </c>
      <c r="F13" s="237">
        <f t="shared" ref="F13:F20" si="1">C13*E13</f>
        <v>0</v>
      </c>
      <c r="G13" s="238" t="str">
        <f t="shared" si="0"/>
        <v>Fail</v>
      </c>
      <c r="H13" s="38"/>
      <c r="I13" s="38"/>
    </row>
    <row r="14" spans="1:9" s="24" customFormat="1" ht="15" customHeight="1">
      <c r="A14" s="233">
        <f>'4. Parking Area'!$A$1</f>
        <v>4</v>
      </c>
      <c r="B14" s="219" t="str">
        <f>'4. Parking Area'!$B$1</f>
        <v>Parking Area</v>
      </c>
      <c r="C14" s="234">
        <f>Evaluation!I9</f>
        <v>0</v>
      </c>
      <c r="D14" s="235">
        <v>0.5</v>
      </c>
      <c r="E14" s="236">
        <v>20</v>
      </c>
      <c r="F14" s="237">
        <f t="shared" si="1"/>
        <v>0</v>
      </c>
      <c r="G14" s="238" t="str">
        <f t="shared" si="0"/>
        <v>Fail</v>
      </c>
      <c r="H14" s="38"/>
      <c r="I14" s="38"/>
    </row>
    <row r="15" spans="1:9" s="24" customFormat="1" ht="15" customHeight="1">
      <c r="A15" s="233">
        <f>'5. Ramps'!$A$1</f>
        <v>5</v>
      </c>
      <c r="B15" s="219" t="str">
        <f>'5. Ramps'!$B$1</f>
        <v>Vehicle Ramps</v>
      </c>
      <c r="C15" s="234">
        <f>Evaluation!I10</f>
        <v>0</v>
      </c>
      <c r="D15" s="235">
        <v>0.5</v>
      </c>
      <c r="E15" s="236">
        <v>8</v>
      </c>
      <c r="F15" s="237">
        <f t="shared" si="1"/>
        <v>0</v>
      </c>
      <c r="G15" s="238" t="str">
        <f t="shared" si="0"/>
        <v>Fail</v>
      </c>
      <c r="H15" s="38"/>
      <c r="I15" s="38"/>
    </row>
    <row r="16" spans="1:9" s="24" customFormat="1" ht="15" customHeight="1">
      <c r="A16" s="233">
        <f>'6. Pedestrian Access'!$A$1</f>
        <v>6</v>
      </c>
      <c r="B16" s="219" t="str">
        <f>'6. Pedestrian Access'!$B$1</f>
        <v>Pedestrian Access</v>
      </c>
      <c r="C16" s="234">
        <f>Evaluation!I11</f>
        <v>0</v>
      </c>
      <c r="D16" s="235">
        <v>0.5</v>
      </c>
      <c r="E16" s="236">
        <v>16</v>
      </c>
      <c r="F16" s="237">
        <f t="shared" si="1"/>
        <v>0</v>
      </c>
      <c r="G16" s="238" t="str">
        <f t="shared" si="0"/>
        <v>Fail</v>
      </c>
      <c r="H16" s="38"/>
      <c r="I16" s="38"/>
    </row>
    <row r="17" spans="1:9" s="24" customFormat="1" ht="15" customHeight="1">
      <c r="A17" s="233">
        <v>7</v>
      </c>
      <c r="B17" s="219" t="str">
        <f>'7. Security equipment'!$B$1</f>
        <v>Security Equipment</v>
      </c>
      <c r="C17" s="234">
        <f>Evaluation!I12</f>
        <v>0</v>
      </c>
      <c r="D17" s="235">
        <v>0.5</v>
      </c>
      <c r="E17" s="236">
        <v>8</v>
      </c>
      <c r="F17" s="237">
        <f t="shared" si="1"/>
        <v>0</v>
      </c>
      <c r="G17" s="238" t="str">
        <f t="shared" si="0"/>
        <v>Fail</v>
      </c>
      <c r="H17" s="38"/>
      <c r="I17" s="38"/>
    </row>
    <row r="18" spans="1:9" s="24" customFormat="1" ht="15" customHeight="1">
      <c r="A18" s="233">
        <v>8</v>
      </c>
      <c r="B18" s="219" t="str">
        <f>'8. Wayfinding'!$B$1</f>
        <v>Wayfinding Inside and Outside</v>
      </c>
      <c r="C18" s="234">
        <f>Evaluation!I13</f>
        <v>0</v>
      </c>
      <c r="D18" s="235">
        <v>0.5</v>
      </c>
      <c r="E18" s="236">
        <v>8</v>
      </c>
      <c r="F18" s="237">
        <f t="shared" si="1"/>
        <v>0</v>
      </c>
      <c r="G18" s="238" t="str">
        <f t="shared" si="0"/>
        <v>Fail</v>
      </c>
      <c r="H18" s="38"/>
      <c r="I18" s="38"/>
    </row>
    <row r="19" spans="1:9" s="24" customFormat="1" ht="15" customHeight="1">
      <c r="A19" s="233">
        <v>9</v>
      </c>
      <c r="B19" s="219" t="str">
        <f>'9. Comfort'!$B$1</f>
        <v>Comfort and Miscellaneous</v>
      </c>
      <c r="C19" s="234">
        <f>Evaluation!I14</f>
        <v>0</v>
      </c>
      <c r="D19" s="235">
        <v>0.4</v>
      </c>
      <c r="E19" s="236">
        <v>8</v>
      </c>
      <c r="F19" s="237">
        <f t="shared" si="1"/>
        <v>0</v>
      </c>
      <c r="G19" s="238" t="str">
        <f t="shared" si="0"/>
        <v>Fail</v>
      </c>
      <c r="H19" s="38"/>
      <c r="I19" s="38"/>
    </row>
    <row r="20" spans="1:9" s="24" customFormat="1" ht="15" customHeight="1">
      <c r="A20" s="239">
        <v>10</v>
      </c>
      <c r="B20" s="240" t="str">
        <f>'10. Energy Environment'!$B$1</f>
        <v>Energy and Environment</v>
      </c>
      <c r="C20" s="241">
        <f>Evaluation!I15</f>
        <v>0</v>
      </c>
      <c r="D20" s="242">
        <v>0.25</v>
      </c>
      <c r="E20" s="243">
        <v>8</v>
      </c>
      <c r="F20" s="244">
        <f t="shared" si="1"/>
        <v>0</v>
      </c>
      <c r="G20" s="245" t="str">
        <f t="shared" si="0"/>
        <v>Fail</v>
      </c>
      <c r="H20" s="38"/>
      <c r="I20" s="38"/>
    </row>
    <row r="21" spans="1:9" ht="13.9">
      <c r="A21" s="570" t="str">
        <f>Tags!B50</f>
        <v>Subtotals</v>
      </c>
      <c r="B21" s="571"/>
      <c r="C21" s="75"/>
      <c r="D21" s="75"/>
      <c r="E21" s="246">
        <f>SUM(E12:E20)</f>
        <v>100</v>
      </c>
      <c r="F21" s="246">
        <f>SUM(F12:F20)</f>
        <v>0</v>
      </c>
      <c r="G21" s="209"/>
      <c r="H21" s="38"/>
      <c r="I21" s="38"/>
    </row>
    <row r="22" spans="1:9">
      <c r="A22" s="209"/>
      <c r="B22" s="209"/>
      <c r="C22" s="209"/>
      <c r="D22" s="209"/>
      <c r="E22" s="209"/>
      <c r="F22" s="209"/>
      <c r="G22" s="214"/>
      <c r="H22" s="38"/>
      <c r="I22" s="38"/>
    </row>
    <row r="23" spans="1:9">
      <c r="A23" s="226" t="str">
        <f>Minus!$A$1</f>
        <v>M</v>
      </c>
      <c r="B23" s="227" t="str">
        <f>Minus!$B$1</f>
        <v>Minus Points</v>
      </c>
      <c r="C23" s="247">
        <f>Evaluation!I18</f>
        <v>0</v>
      </c>
      <c r="D23" s="209"/>
      <c r="E23" s="230">
        <v>-15</v>
      </c>
      <c r="F23" s="231">
        <f>E23*C23</f>
        <v>0</v>
      </c>
      <c r="G23" s="214"/>
      <c r="H23" s="38"/>
      <c r="I23" s="38"/>
    </row>
    <row r="24" spans="1:9">
      <c r="A24" s="239" t="str">
        <f>Bonus!$A$1</f>
        <v>B</v>
      </c>
      <c r="B24" s="240" t="str">
        <f>Bonus!$B$1</f>
        <v>Bonus Points</v>
      </c>
      <c r="C24" s="248">
        <f>Evaluation!I19</f>
        <v>0</v>
      </c>
      <c r="D24" s="209"/>
      <c r="E24" s="243">
        <v>15</v>
      </c>
      <c r="F24" s="244">
        <f>C24*E24</f>
        <v>0</v>
      </c>
      <c r="G24" s="214"/>
      <c r="H24" s="38"/>
      <c r="I24" s="38"/>
    </row>
    <row r="25" spans="1:9" ht="13.9">
      <c r="A25" s="570" t="str">
        <f>A21</f>
        <v>Subtotals</v>
      </c>
      <c r="B25" s="571"/>
      <c r="C25" s="209"/>
      <c r="D25" s="209"/>
      <c r="E25" s="246">
        <f>SUM(E23:E24)</f>
        <v>0</v>
      </c>
      <c r="F25" s="246">
        <f>SUM(F23:F24)</f>
        <v>0</v>
      </c>
      <c r="G25" s="214"/>
      <c r="H25" s="38"/>
      <c r="I25" s="38"/>
    </row>
    <row r="26" spans="1:9">
      <c r="A26" s="214"/>
      <c r="B26" s="214"/>
      <c r="C26" s="214"/>
      <c r="D26" s="214"/>
      <c r="E26" s="214"/>
      <c r="F26" s="214"/>
      <c r="G26" s="214"/>
      <c r="H26" s="38"/>
      <c r="I26" s="38"/>
    </row>
    <row r="27" spans="1:9" ht="15">
      <c r="A27" s="572" t="str">
        <f>Tags!B51</f>
        <v>Totals</v>
      </c>
      <c r="B27" s="573"/>
      <c r="C27" s="209"/>
      <c r="D27" s="209"/>
      <c r="E27" s="246">
        <f>E21+E25</f>
        <v>100</v>
      </c>
      <c r="F27" s="246">
        <f>F21+F25</f>
        <v>0</v>
      </c>
      <c r="G27" s="214"/>
      <c r="H27" s="38"/>
      <c r="I27" s="38"/>
    </row>
    <row r="28" spans="1:9" ht="13.9" thickBot="1">
      <c r="A28" s="209"/>
      <c r="B28" s="209"/>
      <c r="C28" s="209"/>
      <c r="D28" s="209"/>
      <c r="E28" s="209"/>
      <c r="F28" s="209"/>
      <c r="G28" s="214"/>
      <c r="H28" s="38"/>
      <c r="I28" s="38"/>
    </row>
    <row r="29" spans="1:9" ht="23.1" customHeight="1">
      <c r="A29" s="566" t="str">
        <f>UPPER(Tags!B52)</f>
        <v>MINIMUM REQUIREMENT FOR ESPA AWARD</v>
      </c>
      <c r="B29" s="567"/>
      <c r="C29" s="574">
        <v>0.65</v>
      </c>
      <c r="D29" s="554" t="str">
        <f>Tags!B70</f>
        <v>ESPA Gold Award</v>
      </c>
      <c r="E29" s="555"/>
      <c r="F29" s="555"/>
      <c r="G29" s="556"/>
    </row>
    <row r="30" spans="1:9" ht="23.1" customHeight="1">
      <c r="A30" s="568"/>
      <c r="B30" s="569"/>
      <c r="C30" s="575"/>
      <c r="D30" s="557"/>
      <c r="E30" s="558"/>
      <c r="F30" s="558"/>
      <c r="G30" s="559"/>
    </row>
    <row r="31" spans="1:9" ht="23.1" customHeight="1">
      <c r="A31" s="568"/>
      <c r="B31" s="569"/>
      <c r="C31" s="575"/>
      <c r="D31" s="557"/>
      <c r="E31" s="558"/>
      <c r="F31" s="558"/>
      <c r="G31" s="559"/>
    </row>
    <row r="32" spans="1:9" ht="21" customHeight="1">
      <c r="A32" s="563" t="str">
        <f>UPPER(Tags!B44)</f>
        <v>% OBTAINED</v>
      </c>
      <c r="B32" s="564"/>
      <c r="C32" s="565">
        <f>F27/E27</f>
        <v>0</v>
      </c>
      <c r="D32" s="557"/>
      <c r="E32" s="558"/>
      <c r="F32" s="558"/>
      <c r="G32" s="559"/>
    </row>
    <row r="33" spans="1:7" ht="21" customHeight="1">
      <c r="A33" s="563"/>
      <c r="B33" s="564"/>
      <c r="C33" s="565"/>
      <c r="D33" s="557"/>
      <c r="E33" s="558"/>
      <c r="F33" s="558"/>
      <c r="G33" s="559"/>
    </row>
    <row r="34" spans="1:7" ht="21.95" customHeight="1">
      <c r="A34" s="563"/>
      <c r="B34" s="564"/>
      <c r="C34" s="565"/>
      <c r="D34" s="560"/>
      <c r="E34" s="561"/>
      <c r="F34" s="561"/>
      <c r="G34" s="562"/>
    </row>
    <row r="35" spans="1:7" ht="12.95" customHeight="1">
      <c r="A35" s="584" t="str">
        <f>Evaluation!F24</f>
        <v>MANDATORY MINIMUM CONDITIONS</v>
      </c>
      <c r="B35" s="585"/>
      <c r="C35" s="408" t="str">
        <f>IF(G9=pass,"OK",IF(G9=fail,"KO","-"))</f>
        <v>KO</v>
      </c>
      <c r="D35" s="588" t="str">
        <f>UPPER(IF(AND(C32&gt;=C29,C35="OK",C38="OK"),yes,IF(OR(C32&lt;C29,C35="KO",C38="KO"),no,"NA")))</f>
        <v>NO</v>
      </c>
      <c r="E35" s="589"/>
      <c r="F35" s="589"/>
      <c r="G35" s="590"/>
    </row>
    <row r="36" spans="1:7" ht="12.95" customHeight="1">
      <c r="A36" s="584"/>
      <c r="B36" s="585"/>
      <c r="C36" s="408"/>
      <c r="D36" s="588"/>
      <c r="E36" s="589"/>
      <c r="F36" s="589"/>
      <c r="G36" s="590"/>
    </row>
    <row r="37" spans="1:7" ht="12.95" customHeight="1">
      <c r="A37" s="584"/>
      <c r="B37" s="585"/>
      <c r="C37" s="408"/>
      <c r="D37" s="588"/>
      <c r="E37" s="589"/>
      <c r="F37" s="589"/>
      <c r="G37" s="590"/>
    </row>
    <row r="38" spans="1:7" ht="12.95" customHeight="1">
      <c r="A38" s="584" t="str">
        <f>Evaluation!F27</f>
        <v>CATEGORIES MINIMUM POINTS</v>
      </c>
      <c r="B38" s="585"/>
      <c r="C38" s="408" t="str">
        <f>IF(COUNTIF(G12:G20,fail)&gt;0,"KO","OK")</f>
        <v>KO</v>
      </c>
      <c r="D38" s="588"/>
      <c r="E38" s="589"/>
      <c r="F38" s="589"/>
      <c r="G38" s="590"/>
    </row>
    <row r="39" spans="1:7" ht="12.95" customHeight="1">
      <c r="A39" s="584"/>
      <c r="B39" s="585"/>
      <c r="C39" s="408"/>
      <c r="D39" s="588"/>
      <c r="E39" s="589"/>
      <c r="F39" s="589"/>
      <c r="G39" s="590"/>
    </row>
    <row r="40" spans="1:7" ht="14.1" customHeight="1" thickBot="1">
      <c r="A40" s="586"/>
      <c r="B40" s="587"/>
      <c r="C40" s="415"/>
      <c r="D40" s="591"/>
      <c r="E40" s="592"/>
      <c r="F40" s="592"/>
      <c r="G40" s="593"/>
    </row>
    <row r="41" spans="1:7" ht="12.95" hidden="1" customHeight="1"/>
    <row r="42" spans="1:7" ht="14.1" hidden="1" customHeight="1"/>
  </sheetData>
  <sheetProtection algorithmName="SHA-512" hashValue="QNxzZ2NQCGmlHhnd29mg4l2Zqt6n44whulbXsKGKn6ztbUF1UhgHus3FyruNYJvjGEJI6WHhUIbTJ+3kEsonBA==" saltValue="BhVGz6Ndvit3H8dutpO+AQ==" spinCount="100000" sheet="1" objects="1" scenarios="1" formatRows="0" selectLockedCells="1"/>
  <mergeCells count="19">
    <mergeCell ref="C38:C40"/>
    <mergeCell ref="A35:B37"/>
    <mergeCell ref="A38:B40"/>
    <mergeCell ref="D35:G40"/>
    <mergeCell ref="C35:C37"/>
    <mergeCell ref="D3:G3"/>
    <mergeCell ref="D29:G34"/>
    <mergeCell ref="A32:B34"/>
    <mergeCell ref="C32:C34"/>
    <mergeCell ref="A29:B31"/>
    <mergeCell ref="A21:B21"/>
    <mergeCell ref="A25:B25"/>
    <mergeCell ref="A27:B27"/>
    <mergeCell ref="C29:C31"/>
    <mergeCell ref="D5:G5"/>
    <mergeCell ref="D6:G6"/>
    <mergeCell ref="A8:B8"/>
    <mergeCell ref="A11:B11"/>
    <mergeCell ref="D4:G4"/>
  </mergeCells>
  <phoneticPr fontId="24" type="noConversion"/>
  <printOptions horizontalCentered="1"/>
  <pageMargins left="0.71" right="0.71" top="0.75000000000000011" bottom="0.75000000000000011" header="0.31" footer="0.31"/>
  <pageSetup paperSize="9" scale="63" orientation="landscape" horizontalDpi="300" verticalDpi="300"/>
  <headerFooter>
    <oddHeader>&amp;L&amp;"Calibri,Bold"&amp;K000000EPA - Checklist for the European Standard Parking Award</oddHeader>
    <oddFooter>&amp;L&amp;K000000[File]&amp;A&amp;R&amp;K000000&amp;D - Page &amp;P/&amp;N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Options!$B$20:$B$21</xm:f>
          </x14:formula1>
          <xm:sqref>C4:C6</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I568"/>
  <sheetViews>
    <sheetView workbookViewId="0">
      <pane xSplit="3" ySplit="3" topLeftCell="D47" activePane="bottomRight" state="frozenSplit"/>
      <selection activeCell="B17" sqref="B17"/>
      <selection pane="topRight" activeCell="B17" sqref="B17"/>
      <selection pane="bottomLeft" activeCell="B17" sqref="B17"/>
      <selection pane="bottomRight" activeCell="E60" sqref="E60"/>
    </sheetView>
  </sheetViews>
  <sheetFormatPr baseColWidth="10" defaultColWidth="10.86328125" defaultRowHeight="14.25"/>
  <cols>
    <col min="1" max="1" width="9.3984375" style="6" customWidth="1"/>
    <col min="2" max="2" width="51.86328125" style="6" customWidth="1"/>
    <col min="3" max="3" width="7.265625" style="6" customWidth="1"/>
    <col min="4" max="9" width="63" style="6" customWidth="1"/>
    <col min="10" max="16384" width="10.86328125" style="6"/>
  </cols>
  <sheetData>
    <row r="1" spans="1:9" ht="25.9" thickBot="1">
      <c r="A1" s="181">
        <f>'Languages Available'!B1</f>
        <v>1</v>
      </c>
      <c r="B1" s="195" t="s">
        <v>1348</v>
      </c>
      <c r="C1" s="196"/>
      <c r="D1" s="180" t="str">
        <f>'General Info'!E3</f>
        <v>English</v>
      </c>
    </row>
    <row r="2" spans="1:9">
      <c r="D2" s="6">
        <v>1</v>
      </c>
      <c r="E2" s="6">
        <v>2</v>
      </c>
      <c r="F2" s="6">
        <v>3</v>
      </c>
      <c r="G2" s="6">
        <v>4</v>
      </c>
      <c r="H2" s="6">
        <v>5</v>
      </c>
      <c r="I2" s="6">
        <v>6</v>
      </c>
    </row>
    <row r="3" spans="1:9" ht="21">
      <c r="B3" s="183" t="s">
        <v>1347</v>
      </c>
      <c r="C3" s="182"/>
      <c r="D3" s="194" t="str">
        <f>VLOOKUP(D2,'Languages Available'!$A$3:$B$23,2)</f>
        <v>English</v>
      </c>
      <c r="E3" s="194" t="str">
        <f>VLOOKUP(E2,'Languages Available'!$A$3:$B$23,2)</f>
        <v>Dutch</v>
      </c>
      <c r="F3" s="194" t="str">
        <f>VLOOKUP(F2,'Languages Available'!$A$3:$B$23,2)</f>
        <v>Français</v>
      </c>
      <c r="G3" s="194" t="str">
        <f>VLOOKUP(G2,'Languages Available'!$A$3:$B$23,2)</f>
        <v>Deutsch</v>
      </c>
      <c r="H3" s="194" t="str">
        <f>VLOOKUP(H2,'Languages Available'!$A$3:$B$23,2)</f>
        <v>Spanish</v>
      </c>
      <c r="I3" s="194" t="str">
        <f>VLOOKUP(I2,'Languages Available'!$A$3:$B$23,2)</f>
        <v>Portuguese</v>
      </c>
    </row>
    <row r="4" spans="1:9">
      <c r="A4" s="6">
        <f t="shared" ref="A4:A55" si="0">C4</f>
        <v>1</v>
      </c>
      <c r="B4" s="184" t="str">
        <f t="shared" ref="B4:B67" si="1">IF(ISBLANK(VLOOKUP(A4,$C$4:$V$9989,1+$A$1)),D4,VLOOKUP(A4,$C$4:$V$9989,1+$A$1))</f>
        <v>Mandatory Minimum Conditions</v>
      </c>
      <c r="C4" s="6">
        <v>1</v>
      </c>
      <c r="D4" s="184" t="s">
        <v>114</v>
      </c>
      <c r="E4" s="184" t="s">
        <v>557</v>
      </c>
      <c r="F4" s="184" t="s">
        <v>912</v>
      </c>
      <c r="G4" s="184" t="s">
        <v>1457</v>
      </c>
      <c r="H4" s="184" t="s">
        <v>1864</v>
      </c>
      <c r="I4" s="184" t="s">
        <v>2286</v>
      </c>
    </row>
    <row r="5" spans="1:9">
      <c r="A5" s="6">
        <f t="shared" si="0"/>
        <v>2</v>
      </c>
      <c r="B5" s="185" t="str">
        <f t="shared" si="1"/>
        <v>Car park must be for public use</v>
      </c>
      <c r="C5" s="6">
        <f>C4+1</f>
        <v>2</v>
      </c>
      <c r="D5" s="185" t="s">
        <v>2</v>
      </c>
      <c r="E5" s="185" t="s">
        <v>558</v>
      </c>
      <c r="F5" s="185" t="s">
        <v>919</v>
      </c>
      <c r="G5" s="185" t="s">
        <v>1458</v>
      </c>
      <c r="H5" s="185" t="s">
        <v>1865</v>
      </c>
      <c r="I5" s="185" t="s">
        <v>2287</v>
      </c>
    </row>
    <row r="6" spans="1:9" ht="42.75">
      <c r="A6" s="6">
        <f t="shared" si="0"/>
        <v>3</v>
      </c>
      <c r="B6" s="185" t="str">
        <f t="shared" si="1"/>
        <v>Minimum headroom = 1.90 m, generally in the public areas. Incidental lower obstacles must be clearly marked.</v>
      </c>
      <c r="C6" s="6">
        <f t="shared" ref="C6:C72" si="2">C5+1</f>
        <v>3</v>
      </c>
      <c r="D6" s="185" t="s">
        <v>84</v>
      </c>
      <c r="E6" s="185" t="s">
        <v>559</v>
      </c>
      <c r="F6" s="185" t="s">
        <v>920</v>
      </c>
      <c r="G6" s="185" t="s">
        <v>1459</v>
      </c>
      <c r="H6" s="185" t="s">
        <v>1866</v>
      </c>
      <c r="I6" s="185" t="s">
        <v>2288</v>
      </c>
    </row>
    <row r="7" spans="1:9" ht="42.75">
      <c r="A7" s="6">
        <f t="shared" si="0"/>
        <v>4</v>
      </c>
      <c r="B7" s="185" t="str">
        <f t="shared" si="1"/>
        <v>Minimum headroom = 2,00 m, generally in the public areas. Incidental lower obstacles must be clearly marked.</v>
      </c>
      <c r="C7" s="6">
        <f t="shared" si="2"/>
        <v>4</v>
      </c>
      <c r="D7" s="185" t="s">
        <v>1789</v>
      </c>
      <c r="E7" s="185" t="s">
        <v>1790</v>
      </c>
      <c r="F7" s="185" t="s">
        <v>1791</v>
      </c>
      <c r="G7" s="185" t="s">
        <v>1792</v>
      </c>
      <c r="H7" s="185" t="s">
        <v>1867</v>
      </c>
      <c r="I7" s="185" t="s">
        <v>2289</v>
      </c>
    </row>
    <row r="8" spans="1:9" ht="42.75">
      <c r="A8" s="6">
        <f t="shared" si="0"/>
        <v>5</v>
      </c>
      <c r="B8" s="185" t="str">
        <f t="shared" si="1"/>
        <v>There must be at least one dedicated entry and exit lane although additional tidal flow lanes are allowed.</v>
      </c>
      <c r="C8" s="6">
        <f t="shared" si="2"/>
        <v>5</v>
      </c>
      <c r="D8" s="185" t="s">
        <v>118</v>
      </c>
      <c r="E8" s="185" t="s">
        <v>1759</v>
      </c>
      <c r="F8" s="185" t="s">
        <v>921</v>
      </c>
      <c r="G8" s="185" t="s">
        <v>1460</v>
      </c>
      <c r="H8" s="185" t="s">
        <v>1868</v>
      </c>
      <c r="I8" s="291" t="s">
        <v>2290</v>
      </c>
    </row>
    <row r="9" spans="1:9" ht="57">
      <c r="A9" s="6">
        <f t="shared" si="0"/>
        <v>6</v>
      </c>
      <c r="B9" s="185" t="str">
        <f t="shared" si="1"/>
        <v>70% of bays must be at least 2.30m wide. For renovated car parks, over ten years old, minimum bay width of 2.25m is allowed (in that case a penalty applies - check M8).</v>
      </c>
      <c r="C9" s="6">
        <f t="shared" si="2"/>
        <v>6</v>
      </c>
      <c r="D9" s="185" t="s">
        <v>1802</v>
      </c>
      <c r="E9" s="256" t="s">
        <v>560</v>
      </c>
      <c r="F9" s="256" t="s">
        <v>923</v>
      </c>
      <c r="G9" s="185" t="s">
        <v>1822</v>
      </c>
      <c r="H9" s="256" t="s">
        <v>1869</v>
      </c>
      <c r="I9" s="256" t="s">
        <v>2291</v>
      </c>
    </row>
    <row r="10" spans="1:9" ht="28.5">
      <c r="A10" s="6">
        <f t="shared" si="0"/>
        <v>7</v>
      </c>
      <c r="B10" s="185" t="str">
        <f t="shared" si="1"/>
        <v>70% of bays must be at least 2.40m wide.</v>
      </c>
      <c r="C10" s="6">
        <f t="shared" si="2"/>
        <v>7</v>
      </c>
      <c r="D10" s="185" t="s">
        <v>1794</v>
      </c>
      <c r="E10" s="185" t="s">
        <v>1795</v>
      </c>
      <c r="F10" s="185" t="s">
        <v>1796</v>
      </c>
      <c r="G10" s="185" t="s">
        <v>1797</v>
      </c>
      <c r="H10" s="185" t="s">
        <v>1870</v>
      </c>
      <c r="I10" s="185" t="s">
        <v>2292</v>
      </c>
    </row>
    <row r="11" spans="1:9" ht="85.5">
      <c r="A11" s="6">
        <f t="shared" si="0"/>
        <v>8</v>
      </c>
      <c r="B11" s="185" t="str">
        <f t="shared" si="1"/>
        <v>All straight ramps for  unidirectional traffic must be minimum 2.7 metres wide. Bidirectional ramps must be at least 6m wide with lane markings. Ramp width is measured between walls or pillars</v>
      </c>
      <c r="C11" s="6">
        <f t="shared" si="2"/>
        <v>8</v>
      </c>
      <c r="D11" s="185" t="s">
        <v>86</v>
      </c>
      <c r="E11" s="185" t="s">
        <v>1760</v>
      </c>
      <c r="F11" s="185" t="s">
        <v>924</v>
      </c>
      <c r="G11" s="185" t="s">
        <v>1645</v>
      </c>
      <c r="H11" s="185" t="s">
        <v>1871</v>
      </c>
      <c r="I11" s="291" t="s">
        <v>2293</v>
      </c>
    </row>
    <row r="12" spans="1:9" ht="71.25">
      <c r="A12" s="6">
        <f t="shared" si="0"/>
        <v>9</v>
      </c>
      <c r="B12" s="185" t="str">
        <f t="shared" si="1"/>
        <v xml:space="preserve">Curved ramps for single directional traffic must have an external radius of minimum 8.00 metres with lane width of minimum 3.5 metres. For bidirectional curved ramps this applies for the inner driving lane. The outside driving lane must be minimum 3.5 metres wide as well. </v>
      </c>
      <c r="C12" s="6">
        <f t="shared" si="2"/>
        <v>9</v>
      </c>
      <c r="D12" s="185" t="s">
        <v>87</v>
      </c>
      <c r="E12" s="185" t="s">
        <v>561</v>
      </c>
      <c r="F12" s="185" t="s">
        <v>925</v>
      </c>
      <c r="G12" s="185" t="s">
        <v>1646</v>
      </c>
      <c r="H12" s="185" t="s">
        <v>1872</v>
      </c>
      <c r="I12" s="185" t="s">
        <v>2294</v>
      </c>
    </row>
    <row r="13" spans="1:9" ht="42.75">
      <c r="A13" s="6">
        <f t="shared" si="0"/>
        <v>10</v>
      </c>
      <c r="B13" s="185" t="str">
        <f t="shared" si="1"/>
        <v>Ramp gradients must not exceed 20% , to be measured at the middle of driving lane.  At bidirectional curved ramps this applies for the inner (steepest) driving lane.</v>
      </c>
      <c r="C13" s="6">
        <f t="shared" si="2"/>
        <v>10</v>
      </c>
      <c r="D13" s="185" t="s">
        <v>117</v>
      </c>
      <c r="E13" s="185" t="s">
        <v>562</v>
      </c>
      <c r="F13" s="185" t="s">
        <v>922</v>
      </c>
      <c r="G13" s="185" t="s">
        <v>1461</v>
      </c>
      <c r="H13" s="291" t="s">
        <v>1873</v>
      </c>
      <c r="I13" s="185" t="s">
        <v>2295</v>
      </c>
    </row>
    <row r="14" spans="1:9" ht="57">
      <c r="A14" s="6">
        <f t="shared" si="0"/>
        <v>11</v>
      </c>
      <c r="B14" s="185" t="str">
        <f t="shared" si="1"/>
        <v>If the car park has paid parking and access control by barriers or gates, staff must be contactable at the pay point/exit point and secured pedestrian entries.</v>
      </c>
      <c r="C14" s="6">
        <f t="shared" si="2"/>
        <v>11</v>
      </c>
      <c r="D14" s="185" t="s">
        <v>85</v>
      </c>
      <c r="E14" s="185" t="s">
        <v>563</v>
      </c>
      <c r="F14" s="185" t="s">
        <v>926</v>
      </c>
      <c r="G14" s="185" t="s">
        <v>1462</v>
      </c>
      <c r="H14" s="185" t="s">
        <v>1874</v>
      </c>
      <c r="I14" s="292" t="s">
        <v>2296</v>
      </c>
    </row>
    <row r="15" spans="1:9">
      <c r="A15" s="6">
        <f t="shared" si="0"/>
        <v>12</v>
      </c>
      <c r="B15" s="185" t="str">
        <f t="shared" si="1"/>
        <v>Receipt for payment must be provided when requested.</v>
      </c>
      <c r="C15" s="6">
        <f t="shared" si="2"/>
        <v>12</v>
      </c>
      <c r="D15" s="185" t="s">
        <v>88</v>
      </c>
      <c r="E15" s="185" t="s">
        <v>564</v>
      </c>
      <c r="F15" s="185" t="s">
        <v>927</v>
      </c>
      <c r="G15" s="185" t="s">
        <v>1463</v>
      </c>
      <c r="H15" s="185" t="s">
        <v>1875</v>
      </c>
      <c r="I15" s="185" t="s">
        <v>2297</v>
      </c>
    </row>
    <row r="16" spans="1:9" ht="42.75">
      <c r="A16" s="6">
        <f t="shared" si="0"/>
        <v>13</v>
      </c>
      <c r="B16" s="185" t="str">
        <f t="shared" si="1"/>
        <v>All turning movements must be capable of being completed without reversing (moving in/out the parking bay and cul-de-sacs excluded)</v>
      </c>
      <c r="C16" s="6">
        <f t="shared" si="2"/>
        <v>13</v>
      </c>
      <c r="D16" s="185" t="s">
        <v>119</v>
      </c>
      <c r="E16" s="185" t="s">
        <v>565</v>
      </c>
      <c r="F16" s="185" t="s">
        <v>928</v>
      </c>
      <c r="G16" s="185" t="s">
        <v>1464</v>
      </c>
      <c r="H16" s="185" t="s">
        <v>1876</v>
      </c>
      <c r="I16" s="292" t="s">
        <v>2298</v>
      </c>
    </row>
    <row r="17" spans="1:9" ht="28.5">
      <c r="A17" s="6">
        <f t="shared" si="0"/>
        <v>14</v>
      </c>
      <c r="B17" s="185" t="str">
        <f t="shared" si="1"/>
        <v>Average light levels on parking area at floor is at minimum 20 Lux</v>
      </c>
      <c r="C17" s="6">
        <f t="shared" si="2"/>
        <v>14</v>
      </c>
      <c r="D17" s="185" t="s">
        <v>1799</v>
      </c>
      <c r="E17" s="185" t="s">
        <v>2774</v>
      </c>
      <c r="F17" s="185"/>
      <c r="G17" s="185" t="s">
        <v>1823</v>
      </c>
      <c r="H17" s="185" t="s">
        <v>1877</v>
      </c>
      <c r="I17" s="185" t="s">
        <v>2299</v>
      </c>
    </row>
    <row r="18" spans="1:9" ht="28.5">
      <c r="A18" s="6">
        <f t="shared" si="0"/>
        <v>15</v>
      </c>
      <c r="B18" s="185" t="str">
        <f t="shared" si="1"/>
        <v>Average light levels on parking area at floor is at minimum 50 Lux</v>
      </c>
      <c r="C18" s="6">
        <f t="shared" si="2"/>
        <v>15</v>
      </c>
      <c r="D18" s="185" t="s">
        <v>1800</v>
      </c>
      <c r="E18" s="185" t="s">
        <v>2775</v>
      </c>
      <c r="F18" s="185"/>
      <c r="G18" s="185" t="s">
        <v>1824</v>
      </c>
      <c r="H18" s="185" t="s">
        <v>1878</v>
      </c>
      <c r="I18" s="185" t="s">
        <v>2300</v>
      </c>
    </row>
    <row r="19" spans="1:9">
      <c r="A19" s="6">
        <f t="shared" si="0"/>
        <v>16</v>
      </c>
      <c r="B19" s="185" t="str">
        <f t="shared" si="1"/>
        <v>Lighting</v>
      </c>
      <c r="C19" s="6">
        <f t="shared" si="2"/>
        <v>16</v>
      </c>
      <c r="D19" s="185" t="s">
        <v>678</v>
      </c>
      <c r="E19" s="185" t="s">
        <v>566</v>
      </c>
      <c r="F19" s="185" t="s">
        <v>929</v>
      </c>
      <c r="G19" s="185" t="s">
        <v>1465</v>
      </c>
      <c r="H19" s="185" t="s">
        <v>1879</v>
      </c>
      <c r="I19" s="185" t="s">
        <v>2301</v>
      </c>
    </row>
    <row r="20" spans="1:9" ht="28.5">
      <c r="A20" s="6">
        <f t="shared" si="0"/>
        <v>17</v>
      </c>
      <c r="B20" s="185" t="str">
        <f t="shared" si="1"/>
        <v>Item List (values in Lux, see user manual for measurement)</v>
      </c>
      <c r="C20" s="6">
        <f t="shared" si="2"/>
        <v>17</v>
      </c>
      <c r="D20" s="185" t="s">
        <v>474</v>
      </c>
      <c r="E20" s="185" t="s">
        <v>567</v>
      </c>
      <c r="F20" s="185" t="s">
        <v>930</v>
      </c>
      <c r="G20" s="185" t="s">
        <v>1466</v>
      </c>
      <c r="H20" s="185" t="s">
        <v>1880</v>
      </c>
      <c r="I20" s="185" t="s">
        <v>2302</v>
      </c>
    </row>
    <row r="21" spans="1:9" ht="57">
      <c r="A21" s="6">
        <f t="shared" si="0"/>
        <v>18</v>
      </c>
      <c r="B21" s="185" t="str">
        <f t="shared" si="1"/>
        <v>Vehicular entry area; at floor level
•  Above 200 Lux = 5;
•  Between 75– 200 Lux: 0,04 pt per Lux over 75  
•  Below 75 Lux = 0</v>
      </c>
      <c r="C21" s="6">
        <f t="shared" si="2"/>
        <v>18</v>
      </c>
      <c r="D21" s="185" t="s">
        <v>271</v>
      </c>
      <c r="E21" s="185" t="s">
        <v>674</v>
      </c>
      <c r="F21" s="185" t="s">
        <v>931</v>
      </c>
      <c r="G21" s="185" t="s">
        <v>1647</v>
      </c>
      <c r="H21" s="185" t="s">
        <v>1881</v>
      </c>
      <c r="I21" s="291" t="s">
        <v>2303</v>
      </c>
    </row>
    <row r="22" spans="1:9" ht="57">
      <c r="A22" s="6">
        <f t="shared" si="0"/>
        <v>19</v>
      </c>
      <c r="B22" s="185" t="str">
        <f t="shared" si="1"/>
        <v>Entry; at 1 m height near ticket-machine
•  Above 200 Lux = 3;
•  Between100– 200 Lux: 0,03 pt per Lux over 100
•  Below 100 Lux = 0</v>
      </c>
      <c r="C22" s="6">
        <f t="shared" si="2"/>
        <v>19</v>
      </c>
      <c r="D22" s="185" t="s">
        <v>272</v>
      </c>
      <c r="E22" s="185" t="s">
        <v>675</v>
      </c>
      <c r="F22" s="185" t="s">
        <v>932</v>
      </c>
      <c r="G22" s="185" t="s">
        <v>1648</v>
      </c>
      <c r="H22" s="185" t="s">
        <v>1882</v>
      </c>
      <c r="I22" s="185" t="s">
        <v>2304</v>
      </c>
    </row>
    <row r="23" spans="1:9" ht="71.25">
      <c r="A23" s="6">
        <f t="shared" si="0"/>
        <v>20</v>
      </c>
      <c r="B23" s="185" t="str">
        <f t="shared" si="1"/>
        <v>Exit; at 1 m height near barrier/ticket-machine
•  Above 200 Lux = 3;
•  Between100– 200 Lux: 0,03 pt per Lux over 100
•  Below 100 Lux= 0</v>
      </c>
      <c r="C23" s="6">
        <f t="shared" si="2"/>
        <v>20</v>
      </c>
      <c r="D23" s="185" t="s">
        <v>273</v>
      </c>
      <c r="E23" s="185" t="s">
        <v>676</v>
      </c>
      <c r="F23" s="185" t="s">
        <v>933</v>
      </c>
      <c r="G23" s="185" t="s">
        <v>1649</v>
      </c>
      <c r="H23" s="185" t="s">
        <v>1883</v>
      </c>
      <c r="I23" s="185" t="s">
        <v>2305</v>
      </c>
    </row>
    <row r="24" spans="1:9" ht="85.5">
      <c r="A24" s="6">
        <f t="shared" si="0"/>
        <v>21</v>
      </c>
      <c r="B24" s="256" t="str">
        <f t="shared" si="1"/>
        <v>At pay-machine; at 1 m height
•  Above 200 Lux =4;
•  Between100– 200 Lux: 0,04 pt per Lux over 100
•  Below 100 Lux= 0;
•  No Pay Machines : same as exit (enter zero if this is the case)</v>
      </c>
      <c r="C24" s="6">
        <f t="shared" si="2"/>
        <v>21</v>
      </c>
      <c r="D24" s="256" t="s">
        <v>1804</v>
      </c>
      <c r="E24" s="256" t="s">
        <v>2782</v>
      </c>
      <c r="F24" s="256" t="s">
        <v>934</v>
      </c>
      <c r="G24" s="256" t="s">
        <v>1825</v>
      </c>
      <c r="H24" s="256" t="s">
        <v>1884</v>
      </c>
      <c r="I24" s="292" t="s">
        <v>2306</v>
      </c>
    </row>
    <row r="25" spans="1:9" ht="71.25">
      <c r="A25" s="6">
        <f t="shared" si="0"/>
        <v>22</v>
      </c>
      <c r="B25" s="256" t="str">
        <f t="shared" si="1"/>
        <v>At cashier; at counter height
•  Above 200 Lux =4;
•  Between100– 200 Lux: 0,04 pt per Lux over 100
•  Below 100 Lux= 0;
•  No cashier = 3 (enter zero if this is the case)</v>
      </c>
      <c r="C25" s="6">
        <f t="shared" si="2"/>
        <v>22</v>
      </c>
      <c r="D25" s="256" t="s">
        <v>1805</v>
      </c>
      <c r="E25" s="256" t="s">
        <v>677</v>
      </c>
      <c r="F25" s="256" t="s">
        <v>935</v>
      </c>
      <c r="G25" s="256" t="s">
        <v>1826</v>
      </c>
      <c r="H25" s="256" t="s">
        <v>1885</v>
      </c>
      <c r="I25" s="256" t="s">
        <v>2307</v>
      </c>
    </row>
    <row r="26" spans="1:9" ht="85.5">
      <c r="A26" s="6">
        <f t="shared" si="0"/>
        <v>23</v>
      </c>
      <c r="B26" s="256" t="str">
        <f t="shared" si="1"/>
        <v>In elevator; at floor level
•  Above 70 Lux = 4;
•  Between30– 70 Lux: 0,1 pt per Lux over 30
•  Below 30 Lux = 0;
•  Single level without elevator = 3 (enter zero if this is the case)</v>
      </c>
      <c r="C26" s="6">
        <f t="shared" si="2"/>
        <v>23</v>
      </c>
      <c r="D26" s="256" t="s">
        <v>1821</v>
      </c>
      <c r="E26" s="256" t="s">
        <v>2783</v>
      </c>
      <c r="F26" s="256" t="s">
        <v>936</v>
      </c>
      <c r="G26" s="256" t="s">
        <v>1827</v>
      </c>
      <c r="H26" s="256" t="s">
        <v>1886</v>
      </c>
      <c r="I26" s="256" t="s">
        <v>2308</v>
      </c>
    </row>
    <row r="27" spans="1:9" ht="71.25">
      <c r="A27" s="6">
        <f t="shared" si="0"/>
        <v>24</v>
      </c>
      <c r="B27" s="185" t="str">
        <f t="shared" si="1"/>
        <v>In staircases and all other exclusive pedestrian routes; at floor level
•  Above 90 Lux = 3;
•  Between30– 90 Lux: 0,05 pt per Lux over 30
•  Below 30 Lux = 0;</v>
      </c>
      <c r="C27" s="6">
        <f t="shared" si="2"/>
        <v>24</v>
      </c>
      <c r="D27" s="185" t="s">
        <v>275</v>
      </c>
      <c r="E27" s="185" t="s">
        <v>1317</v>
      </c>
      <c r="F27" s="185" t="s">
        <v>937</v>
      </c>
      <c r="G27" s="185" t="s">
        <v>1650</v>
      </c>
      <c r="H27" s="185" t="s">
        <v>1887</v>
      </c>
      <c r="I27" s="185" t="s">
        <v>2309</v>
      </c>
    </row>
    <row r="28" spans="1:9" ht="85.5">
      <c r="A28" s="6">
        <f t="shared" si="0"/>
        <v>25</v>
      </c>
      <c r="B28" s="185" t="str">
        <f t="shared" si="1"/>
        <v>Light levels on parking area at floor level: (plesase fill grid below) 
Average light level of grid:
•  Above 100 Lux= 10;
•  Between20– 100 Lux: 0,125 pt per Lux over 20 
•  Below 20 Lux= 0</v>
      </c>
      <c r="C28" s="6">
        <f t="shared" si="2"/>
        <v>25</v>
      </c>
      <c r="D28" s="185" t="s">
        <v>540</v>
      </c>
      <c r="E28" s="185" t="s">
        <v>2784</v>
      </c>
      <c r="F28" s="185" t="s">
        <v>938</v>
      </c>
      <c r="G28" s="185" t="s">
        <v>1651</v>
      </c>
      <c r="H28" s="185" t="s">
        <v>1888</v>
      </c>
      <c r="I28" s="291" t="s">
        <v>2310</v>
      </c>
    </row>
    <row r="29" spans="1:9" ht="71.25">
      <c r="A29" s="6">
        <f t="shared" si="0"/>
        <v>26</v>
      </c>
      <c r="B29" s="185" t="str">
        <f t="shared" si="1"/>
        <v>Uniformity of light levels in grid as standard deviation
•  Under 25% of avg light level = 10;
•  Between25– 50%: 0,4 pt per % under 50%
•  Above 50% =  0</v>
      </c>
      <c r="C29" s="6">
        <f t="shared" si="2"/>
        <v>26</v>
      </c>
      <c r="D29" s="185" t="s">
        <v>679</v>
      </c>
      <c r="E29" s="185" t="s">
        <v>2806</v>
      </c>
      <c r="F29" s="185" t="s">
        <v>939</v>
      </c>
      <c r="G29" s="185" t="s">
        <v>1652</v>
      </c>
      <c r="H29" s="185" t="s">
        <v>1889</v>
      </c>
      <c r="I29" s="291" t="s">
        <v>2311</v>
      </c>
    </row>
    <row r="30" spans="1:9">
      <c r="A30" s="6">
        <f t="shared" si="0"/>
        <v>27</v>
      </c>
      <c r="B30" s="185" t="str">
        <f t="shared" si="1"/>
        <v>Auxiliary Grid for 2.8</v>
      </c>
      <c r="C30" s="6">
        <f t="shared" si="2"/>
        <v>27</v>
      </c>
      <c r="D30" s="185" t="s">
        <v>122</v>
      </c>
      <c r="E30" s="185" t="s">
        <v>568</v>
      </c>
      <c r="F30" s="185" t="s">
        <v>940</v>
      </c>
      <c r="G30" s="185" t="s">
        <v>1467</v>
      </c>
      <c r="H30" s="185" t="s">
        <v>1890</v>
      </c>
      <c r="I30" s="185" t="s">
        <v>2312</v>
      </c>
    </row>
    <row r="31" spans="1:9">
      <c r="A31" s="6">
        <f t="shared" si="0"/>
        <v>28</v>
      </c>
      <c r="B31" s="185" t="str">
        <f t="shared" si="1"/>
        <v>end of parking space under/between light fitting</v>
      </c>
      <c r="C31" s="6">
        <f t="shared" si="2"/>
        <v>28</v>
      </c>
      <c r="D31" s="185" t="s">
        <v>113</v>
      </c>
      <c r="E31" s="185" t="s">
        <v>569</v>
      </c>
      <c r="F31" s="185" t="s">
        <v>941</v>
      </c>
      <c r="G31" s="185" t="s">
        <v>1468</v>
      </c>
      <c r="H31" s="185" t="s">
        <v>1891</v>
      </c>
      <c r="I31" s="185" t="s">
        <v>2313</v>
      </c>
    </row>
    <row r="32" spans="1:9" ht="28.5">
      <c r="A32" s="6">
        <f t="shared" si="0"/>
        <v>29</v>
      </c>
      <c r="B32" s="185" t="str">
        <f t="shared" si="1"/>
        <v>halfway parking space under/between light fitting</v>
      </c>
      <c r="C32" s="6">
        <f t="shared" si="2"/>
        <v>29</v>
      </c>
      <c r="D32" s="185" t="s">
        <v>109</v>
      </c>
      <c r="E32" s="185" t="s">
        <v>570</v>
      </c>
      <c r="F32" s="185" t="s">
        <v>942</v>
      </c>
      <c r="G32" s="185" t="s">
        <v>1469</v>
      </c>
      <c r="H32" s="185" t="s">
        <v>1892</v>
      </c>
      <c r="I32" s="185" t="s">
        <v>2314</v>
      </c>
    </row>
    <row r="33" spans="1:9" ht="28.5">
      <c r="A33" s="6">
        <f t="shared" si="0"/>
        <v>30</v>
      </c>
      <c r="B33" s="185" t="str">
        <f t="shared" si="1"/>
        <v>edge of driveway under/between light fitting</v>
      </c>
      <c r="C33" s="6">
        <f t="shared" si="2"/>
        <v>30</v>
      </c>
      <c r="D33" s="185" t="s">
        <v>110</v>
      </c>
      <c r="E33" s="185" t="s">
        <v>571</v>
      </c>
      <c r="F33" s="185" t="s">
        <v>943</v>
      </c>
      <c r="G33" s="185" t="s">
        <v>1470</v>
      </c>
      <c r="H33" s="185" t="s">
        <v>1893</v>
      </c>
      <c r="I33" s="185" t="s">
        <v>2315</v>
      </c>
    </row>
    <row r="34" spans="1:9">
      <c r="A34" s="6">
        <f t="shared" si="0"/>
        <v>31</v>
      </c>
      <c r="B34" s="185" t="str">
        <f t="shared" si="1"/>
        <v>center of driveway under/between light fitting</v>
      </c>
      <c r="C34" s="6">
        <f t="shared" si="2"/>
        <v>31</v>
      </c>
      <c r="D34" s="185" t="s">
        <v>111</v>
      </c>
      <c r="E34" s="185" t="s">
        <v>572</v>
      </c>
      <c r="F34" s="185" t="s">
        <v>944</v>
      </c>
      <c r="G34" s="185" t="s">
        <v>1471</v>
      </c>
      <c r="H34" s="185" t="s">
        <v>1894</v>
      </c>
      <c r="I34" s="185" t="s">
        <v>2316</v>
      </c>
    </row>
    <row r="35" spans="1:9" ht="28.5">
      <c r="A35" s="6">
        <f t="shared" si="0"/>
        <v>32</v>
      </c>
      <c r="B35" s="185" t="str">
        <f t="shared" si="1"/>
        <v>other edge of driveway under/between light fitting</v>
      </c>
      <c r="C35" s="6">
        <f t="shared" si="2"/>
        <v>32</v>
      </c>
      <c r="D35" s="185" t="s">
        <v>112</v>
      </c>
      <c r="E35" s="185" t="s">
        <v>573</v>
      </c>
      <c r="F35" s="185" t="s">
        <v>945</v>
      </c>
      <c r="G35" s="185" t="s">
        <v>1472</v>
      </c>
      <c r="H35" s="185" t="s">
        <v>1895</v>
      </c>
      <c r="I35" s="185" t="s">
        <v>2317</v>
      </c>
    </row>
    <row r="36" spans="1:9">
      <c r="A36" s="6">
        <f t="shared" si="0"/>
        <v>33</v>
      </c>
      <c r="B36" s="185" t="str">
        <f t="shared" si="1"/>
        <v>Car Entry / Car Exit</v>
      </c>
      <c r="C36" s="6">
        <f t="shared" si="2"/>
        <v>33</v>
      </c>
      <c r="D36" s="185" t="s">
        <v>128</v>
      </c>
      <c r="E36" s="185" t="s">
        <v>574</v>
      </c>
      <c r="F36" s="185" t="s">
        <v>946</v>
      </c>
      <c r="G36" s="185" t="s">
        <v>1473</v>
      </c>
      <c r="H36" s="185" t="s">
        <v>1896</v>
      </c>
      <c r="I36" s="185" t="s">
        <v>2522</v>
      </c>
    </row>
    <row r="37" spans="1:9">
      <c r="A37" s="6">
        <f t="shared" si="0"/>
        <v>34</v>
      </c>
      <c r="B37" s="185" t="str">
        <f t="shared" si="1"/>
        <v>Car park headroom limit identified at entrance</v>
      </c>
      <c r="C37" s="6">
        <f t="shared" si="2"/>
        <v>34</v>
      </c>
      <c r="D37" s="185" t="s">
        <v>1323</v>
      </c>
      <c r="E37" s="185" t="s">
        <v>575</v>
      </c>
      <c r="F37" s="185" t="s">
        <v>947</v>
      </c>
      <c r="G37" s="185" t="s">
        <v>1474</v>
      </c>
      <c r="H37" s="185" t="s">
        <v>1897</v>
      </c>
      <c r="I37" s="185" t="s">
        <v>2318</v>
      </c>
    </row>
    <row r="38" spans="1:9">
      <c r="A38" s="6">
        <f t="shared" si="0"/>
        <v>35</v>
      </c>
      <c r="B38" s="185" t="str">
        <f t="shared" si="1"/>
        <v>Correct sign at entrance</v>
      </c>
      <c r="C38" s="6">
        <f t="shared" si="2"/>
        <v>35</v>
      </c>
      <c r="D38" s="185" t="s">
        <v>1322</v>
      </c>
      <c r="E38" s="185" t="s">
        <v>576</v>
      </c>
      <c r="F38" s="185" t="s">
        <v>948</v>
      </c>
      <c r="G38" s="185" t="s">
        <v>1475</v>
      </c>
      <c r="H38" s="185" t="s">
        <v>1898</v>
      </c>
      <c r="I38" s="185" t="s">
        <v>2319</v>
      </c>
    </row>
    <row r="39" spans="1:9">
      <c r="A39" s="6">
        <f t="shared" si="0"/>
        <v>36</v>
      </c>
      <c r="B39" s="185" t="str">
        <f t="shared" si="1"/>
        <v>Height barrier</v>
      </c>
      <c r="C39" s="6">
        <f t="shared" si="2"/>
        <v>36</v>
      </c>
      <c r="D39" s="185" t="s">
        <v>1321</v>
      </c>
      <c r="E39" s="185" t="s">
        <v>577</v>
      </c>
      <c r="F39" s="185" t="s">
        <v>949</v>
      </c>
      <c r="G39" s="185" t="s">
        <v>1476</v>
      </c>
      <c r="H39" s="185" t="s">
        <v>1899</v>
      </c>
      <c r="I39" s="185" t="s">
        <v>2320</v>
      </c>
    </row>
    <row r="40" spans="1:9">
      <c r="A40" s="6">
        <f t="shared" si="0"/>
        <v>37</v>
      </c>
      <c r="B40" s="185" t="str">
        <f t="shared" si="1"/>
        <v>Rubber lip to prevent damage</v>
      </c>
      <c r="C40" s="6">
        <f t="shared" si="2"/>
        <v>37</v>
      </c>
      <c r="D40" s="185" t="s">
        <v>129</v>
      </c>
      <c r="E40" s="185" t="s">
        <v>578</v>
      </c>
      <c r="F40" s="185" t="s">
        <v>950</v>
      </c>
      <c r="G40" s="185" t="s">
        <v>1477</v>
      </c>
      <c r="H40" s="185" t="s">
        <v>1900</v>
      </c>
      <c r="I40" s="185" t="s">
        <v>2321</v>
      </c>
    </row>
    <row r="41" spans="1:9" ht="42.75">
      <c r="A41" s="6">
        <f t="shared" si="0"/>
        <v>38</v>
      </c>
      <c r="B41" s="185" t="str">
        <f t="shared" si="1"/>
        <v>Height:
(The car park should receive one point for each 10cm of height above 1.90m up to 2.20 m)</v>
      </c>
      <c r="C41" s="6">
        <f t="shared" si="2"/>
        <v>38</v>
      </c>
      <c r="D41" s="185" t="s">
        <v>157</v>
      </c>
      <c r="E41" s="185" t="s">
        <v>579</v>
      </c>
      <c r="F41" s="185" t="s">
        <v>951</v>
      </c>
      <c r="G41" s="185" t="s">
        <v>1653</v>
      </c>
      <c r="H41" s="185" t="s">
        <v>1901</v>
      </c>
      <c r="I41" s="185" t="s">
        <v>2322</v>
      </c>
    </row>
    <row r="42" spans="1:9" ht="57">
      <c r="A42" s="6">
        <f t="shared" si="0"/>
        <v>39</v>
      </c>
      <c r="B42" s="185" t="str">
        <f t="shared" si="1"/>
        <v>Traffic signs to define limitations in use of facility.
• Clear signing = 3
• Incomplete signing = 2
• No signing = 0)</v>
      </c>
      <c r="C42" s="6">
        <f t="shared" si="2"/>
        <v>39</v>
      </c>
      <c r="D42" s="185" t="s">
        <v>680</v>
      </c>
      <c r="E42" s="185" t="s">
        <v>1318</v>
      </c>
      <c r="F42" s="185" t="s">
        <v>952</v>
      </c>
      <c r="G42" s="185" t="s">
        <v>1654</v>
      </c>
      <c r="H42" s="185" t="s">
        <v>1902</v>
      </c>
      <c r="I42" s="185" t="s">
        <v>2323</v>
      </c>
    </row>
    <row r="43" spans="1:9">
      <c r="A43" s="6">
        <f t="shared" si="0"/>
        <v>40</v>
      </c>
      <c r="B43" s="185" t="str">
        <f t="shared" si="1"/>
        <v>Information on:</v>
      </c>
      <c r="C43" s="6">
        <f t="shared" si="2"/>
        <v>40</v>
      </c>
      <c r="D43" s="185" t="s">
        <v>1320</v>
      </c>
      <c r="E43" s="185" t="s">
        <v>580</v>
      </c>
      <c r="F43" s="185" t="s">
        <v>953</v>
      </c>
      <c r="G43" s="185" t="s">
        <v>1478</v>
      </c>
      <c r="H43" s="185" t="s">
        <v>1903</v>
      </c>
      <c r="I43" s="185" t="s">
        <v>2324</v>
      </c>
    </row>
    <row r="44" spans="1:9">
      <c r="A44" s="6">
        <f t="shared" si="0"/>
        <v>41</v>
      </c>
      <c r="B44" s="185" t="str">
        <f t="shared" si="1"/>
        <v>Operators terms &amp; conditions within the car park:</v>
      </c>
      <c r="C44" s="6">
        <f t="shared" si="2"/>
        <v>41</v>
      </c>
      <c r="D44" s="185" t="s">
        <v>133</v>
      </c>
      <c r="E44" s="185" t="s">
        <v>581</v>
      </c>
      <c r="F44" s="185" t="s">
        <v>954</v>
      </c>
      <c r="G44" s="185" t="s">
        <v>1479</v>
      </c>
      <c r="H44" s="185" t="s">
        <v>1904</v>
      </c>
      <c r="I44" s="185" t="s">
        <v>2325</v>
      </c>
    </row>
    <row r="45" spans="1:9">
      <c r="A45" s="6">
        <f t="shared" si="0"/>
        <v>42</v>
      </c>
      <c r="B45" s="185" t="str">
        <f t="shared" si="1"/>
        <v>Daily opening hours:</v>
      </c>
      <c r="C45" s="6">
        <f t="shared" si="2"/>
        <v>42</v>
      </c>
      <c r="D45" s="185" t="s">
        <v>132</v>
      </c>
      <c r="E45" s="185" t="s">
        <v>582</v>
      </c>
      <c r="F45" s="185" t="s">
        <v>955</v>
      </c>
      <c r="G45" s="185" t="s">
        <v>1480</v>
      </c>
      <c r="H45" s="185" t="s">
        <v>1905</v>
      </c>
      <c r="I45" s="185" t="s">
        <v>2326</v>
      </c>
    </row>
    <row r="46" spans="1:9">
      <c r="A46" s="6">
        <f t="shared" si="0"/>
        <v>43</v>
      </c>
      <c r="B46" s="185" t="str">
        <f t="shared" si="1"/>
        <v>Scale of tariffs:</v>
      </c>
      <c r="C46" s="6">
        <f t="shared" si="2"/>
        <v>43</v>
      </c>
      <c r="D46" s="185" t="s">
        <v>134</v>
      </c>
      <c r="E46" s="185" t="s">
        <v>583</v>
      </c>
      <c r="F46" s="185" t="s">
        <v>956</v>
      </c>
      <c r="G46" s="185" t="s">
        <v>1481</v>
      </c>
      <c r="H46" s="185" t="s">
        <v>1906</v>
      </c>
      <c r="I46" s="185" t="s">
        <v>2327</v>
      </c>
    </row>
    <row r="47" spans="1:9">
      <c r="A47" s="6">
        <f t="shared" si="0"/>
        <v>44</v>
      </c>
      <c r="B47" s="185" t="str">
        <f t="shared" si="1"/>
        <v>Readibility of tariff system:</v>
      </c>
      <c r="C47" s="6">
        <f t="shared" si="2"/>
        <v>44</v>
      </c>
      <c r="D47" s="185" t="s">
        <v>1319</v>
      </c>
      <c r="E47" s="185" t="s">
        <v>584</v>
      </c>
      <c r="F47" s="185" t="s">
        <v>957</v>
      </c>
      <c r="G47" s="185" t="s">
        <v>1482</v>
      </c>
      <c r="H47" s="185" t="s">
        <v>1907</v>
      </c>
      <c r="I47" s="185" t="s">
        <v>2328</v>
      </c>
    </row>
    <row r="48" spans="1:9">
      <c r="A48" s="6">
        <f t="shared" si="0"/>
        <v>45</v>
      </c>
      <c r="B48" s="185" t="str">
        <f t="shared" si="1"/>
        <v>Design entry/exit area</v>
      </c>
      <c r="C48" s="6">
        <f t="shared" si="2"/>
        <v>45</v>
      </c>
      <c r="D48" s="185" t="s">
        <v>135</v>
      </c>
      <c r="E48" s="185" t="s">
        <v>585</v>
      </c>
      <c r="F48" s="185" t="s">
        <v>958</v>
      </c>
      <c r="G48" s="185" t="s">
        <v>1483</v>
      </c>
      <c r="H48" s="185" t="s">
        <v>1908</v>
      </c>
      <c r="I48" s="185" t="s">
        <v>2329</v>
      </c>
    </row>
    <row r="49" spans="1:9">
      <c r="A49" s="6">
        <f t="shared" si="0"/>
        <v>46</v>
      </c>
      <c r="B49" s="185" t="str">
        <f t="shared" si="1"/>
        <v>Entry ticket- machine easy to reach:</v>
      </c>
      <c r="C49" s="6">
        <f t="shared" si="2"/>
        <v>46</v>
      </c>
      <c r="D49" s="185" t="s">
        <v>136</v>
      </c>
      <c r="E49" s="185" t="s">
        <v>586</v>
      </c>
      <c r="F49" s="185" t="s">
        <v>959</v>
      </c>
      <c r="G49" s="185" t="s">
        <v>1484</v>
      </c>
      <c r="H49" s="185" t="s">
        <v>1909</v>
      </c>
      <c r="I49" s="185" t="s">
        <v>2330</v>
      </c>
    </row>
    <row r="50" spans="1:9">
      <c r="A50" s="6">
        <f t="shared" si="0"/>
        <v>47</v>
      </c>
      <c r="B50" s="185" t="str">
        <f t="shared" si="1"/>
        <v>Exit ticket- machine easy to reach:</v>
      </c>
      <c r="C50" s="6">
        <f t="shared" si="2"/>
        <v>47</v>
      </c>
      <c r="D50" s="185" t="s">
        <v>137</v>
      </c>
      <c r="E50" s="185" t="s">
        <v>587</v>
      </c>
      <c r="F50" s="185" t="s">
        <v>960</v>
      </c>
      <c r="G50" s="185" t="s">
        <v>1485</v>
      </c>
      <c r="H50" s="185" t="s">
        <v>1910</v>
      </c>
      <c r="I50" s="185" t="s">
        <v>2331</v>
      </c>
    </row>
    <row r="51" spans="1:9">
      <c r="A51" s="6">
        <f t="shared" si="0"/>
        <v>48</v>
      </c>
      <c r="B51" s="185" t="str">
        <f t="shared" si="1"/>
        <v>Longitudinal slope at the ticket machines</v>
      </c>
      <c r="C51" s="6">
        <f t="shared" si="2"/>
        <v>48</v>
      </c>
      <c r="D51" s="185" t="s">
        <v>138</v>
      </c>
      <c r="E51" s="185" t="s">
        <v>588</v>
      </c>
      <c r="F51" s="185" t="s">
        <v>961</v>
      </c>
      <c r="G51" s="185" t="s">
        <v>1486</v>
      </c>
      <c r="H51" s="185" t="s">
        <v>1911</v>
      </c>
      <c r="I51" s="185" t="s">
        <v>2332</v>
      </c>
    </row>
    <row r="52" spans="1:9" ht="57">
      <c r="A52" s="6">
        <f t="shared" si="0"/>
        <v>49</v>
      </c>
      <c r="B52" s="185" t="str">
        <f t="shared" si="1"/>
        <v>Entry lane:
• 0-2% (car doesn’t move without brake) = 1
• 2-5% = 0
• Above 5% = -1</v>
      </c>
      <c r="C52" s="6">
        <f t="shared" si="2"/>
        <v>49</v>
      </c>
      <c r="D52" s="185" t="s">
        <v>682</v>
      </c>
      <c r="E52" s="185" t="s">
        <v>681</v>
      </c>
      <c r="F52" s="185" t="s">
        <v>962</v>
      </c>
      <c r="G52" s="185" t="s">
        <v>1655</v>
      </c>
      <c r="H52" s="185" t="s">
        <v>1912</v>
      </c>
      <c r="I52" s="185" t="s">
        <v>2333</v>
      </c>
    </row>
    <row r="53" spans="1:9" ht="57">
      <c r="A53" s="6">
        <f t="shared" si="0"/>
        <v>50</v>
      </c>
      <c r="B53" s="185" t="str">
        <f t="shared" si="1"/>
        <v>Exit lane:
• 0-2% (car doesn’t move without brake) = 1
• 2-5% = 0
• Above 5% = -1</v>
      </c>
      <c r="C53" s="6">
        <f t="shared" si="2"/>
        <v>50</v>
      </c>
      <c r="D53" s="185" t="s">
        <v>684</v>
      </c>
      <c r="E53" s="185" t="s">
        <v>683</v>
      </c>
      <c r="F53" s="185" t="s">
        <v>963</v>
      </c>
      <c r="G53" s="185" t="s">
        <v>1656</v>
      </c>
      <c r="H53" s="185" t="s">
        <v>1913</v>
      </c>
      <c r="I53" s="185" t="s">
        <v>2334</v>
      </c>
    </row>
    <row r="54" spans="1:9" ht="42.75">
      <c r="A54" s="6">
        <f t="shared" si="0"/>
        <v>51</v>
      </c>
      <c r="B54" s="185" t="str">
        <f t="shared" si="1"/>
        <v>Kerb design to avoid damage to average vehicle’s wheels:
(Yes = 2, No protection = 0, No kerbs in entry/exit area = 2)</v>
      </c>
      <c r="C54" s="6">
        <f t="shared" si="2"/>
        <v>51</v>
      </c>
      <c r="D54" s="185" t="s">
        <v>483</v>
      </c>
      <c r="E54" s="185" t="s">
        <v>589</v>
      </c>
      <c r="F54" s="185" t="s">
        <v>964</v>
      </c>
      <c r="G54" s="185" t="s">
        <v>1657</v>
      </c>
      <c r="H54" s="185" t="s">
        <v>1914</v>
      </c>
      <c r="I54" s="185" t="s">
        <v>2335</v>
      </c>
    </row>
    <row r="55" spans="1:9" ht="28.5">
      <c r="A55" s="6">
        <f t="shared" si="0"/>
        <v>52</v>
      </c>
      <c r="B55" s="185" t="str">
        <f t="shared" si="1"/>
        <v>Anti slip surfaces access/egress ramps:
(Anti slip = 1, Slippery when wet = 0)</v>
      </c>
      <c r="C55" s="6">
        <f t="shared" si="2"/>
        <v>52</v>
      </c>
      <c r="D55" s="185" t="s">
        <v>222</v>
      </c>
      <c r="E55" s="185" t="s">
        <v>1324</v>
      </c>
      <c r="F55" s="185" t="s">
        <v>965</v>
      </c>
      <c r="G55" s="185" t="s">
        <v>1658</v>
      </c>
      <c r="H55" s="185" t="s">
        <v>1915</v>
      </c>
      <c r="I55" s="185" t="s">
        <v>2336</v>
      </c>
    </row>
    <row r="56" spans="1:9">
      <c r="A56" s="6">
        <f t="shared" ref="A56:A119" si="3">C56</f>
        <v>53</v>
      </c>
      <c r="B56" s="185" t="str">
        <f t="shared" si="1"/>
        <v>Access security</v>
      </c>
      <c r="C56" s="6">
        <f t="shared" si="2"/>
        <v>53</v>
      </c>
      <c r="D56" s="185" t="s">
        <v>139</v>
      </c>
      <c r="E56" s="185" t="s">
        <v>590</v>
      </c>
      <c r="F56" s="185" t="s">
        <v>966</v>
      </c>
      <c r="G56" s="185" t="s">
        <v>1487</v>
      </c>
      <c r="H56" s="185" t="s">
        <v>1916</v>
      </c>
      <c r="I56" s="185" t="s">
        <v>2337</v>
      </c>
    </row>
    <row r="57" spans="1:9">
      <c r="A57" s="6">
        <f t="shared" si="3"/>
        <v>54</v>
      </c>
      <c r="B57" s="185" t="str">
        <f t="shared" si="1"/>
        <v>Barrier</v>
      </c>
      <c r="C57" s="6">
        <f t="shared" si="2"/>
        <v>54</v>
      </c>
      <c r="D57" s="185" t="s">
        <v>140</v>
      </c>
      <c r="E57" s="185" t="s">
        <v>591</v>
      </c>
      <c r="F57" s="185" t="s">
        <v>967</v>
      </c>
      <c r="G57" s="185" t="s">
        <v>1488</v>
      </c>
      <c r="H57" s="185" t="s">
        <v>1917</v>
      </c>
      <c r="I57" s="185" t="s">
        <v>2338</v>
      </c>
    </row>
    <row r="58" spans="1:9">
      <c r="A58" s="6">
        <f t="shared" si="3"/>
        <v>55</v>
      </c>
      <c r="B58" s="185" t="str">
        <f t="shared" si="1"/>
        <v>Intercom</v>
      </c>
      <c r="C58" s="6">
        <f t="shared" si="2"/>
        <v>55</v>
      </c>
      <c r="D58" s="185" t="s">
        <v>141</v>
      </c>
      <c r="E58" s="185" t="s">
        <v>141</v>
      </c>
      <c r="F58" s="185" t="s">
        <v>968</v>
      </c>
      <c r="G58" s="185" t="s">
        <v>1489</v>
      </c>
      <c r="H58" s="185" t="s">
        <v>1918</v>
      </c>
      <c r="I58" s="185" t="s">
        <v>2339</v>
      </c>
    </row>
    <row r="59" spans="1:9">
      <c r="A59" s="6">
        <f t="shared" si="3"/>
        <v>56</v>
      </c>
      <c r="B59" s="185" t="str">
        <f t="shared" si="1"/>
        <v>CCTV</v>
      </c>
      <c r="C59" s="6">
        <f t="shared" si="2"/>
        <v>56</v>
      </c>
      <c r="D59" s="185" t="s">
        <v>142</v>
      </c>
      <c r="E59" s="185" t="s">
        <v>142</v>
      </c>
      <c r="F59" s="185" t="s">
        <v>969</v>
      </c>
      <c r="G59" s="185" t="s">
        <v>1490</v>
      </c>
      <c r="H59" s="185" t="s">
        <v>142</v>
      </c>
      <c r="I59" s="185" t="s">
        <v>142</v>
      </c>
    </row>
    <row r="60" spans="1:9">
      <c r="A60" s="6">
        <f t="shared" si="3"/>
        <v>57</v>
      </c>
      <c r="B60" s="185" t="str">
        <f t="shared" si="1"/>
        <v>Licence Plate Recognition</v>
      </c>
      <c r="C60" s="6">
        <f t="shared" si="2"/>
        <v>57</v>
      </c>
      <c r="D60" s="185" t="s">
        <v>143</v>
      </c>
      <c r="E60" s="185" t="s">
        <v>592</v>
      </c>
      <c r="F60" s="185" t="s">
        <v>970</v>
      </c>
      <c r="G60" s="185" t="s">
        <v>1491</v>
      </c>
      <c r="H60" s="185" t="s">
        <v>1919</v>
      </c>
      <c r="I60" s="185" t="s">
        <v>2340</v>
      </c>
    </row>
    <row r="61" spans="1:9">
      <c r="A61" s="6">
        <f t="shared" si="3"/>
        <v>58</v>
      </c>
      <c r="B61" s="185" t="str">
        <f t="shared" si="1"/>
        <v>Full height fast closing gates</v>
      </c>
      <c r="C61" s="6">
        <f t="shared" si="2"/>
        <v>58</v>
      </c>
      <c r="D61" s="185" t="s">
        <v>144</v>
      </c>
      <c r="E61" s="185" t="s">
        <v>593</v>
      </c>
      <c r="F61" s="185" t="s">
        <v>971</v>
      </c>
      <c r="G61" s="185" t="s">
        <v>1492</v>
      </c>
      <c r="H61" s="185" t="s">
        <v>1920</v>
      </c>
      <c r="I61" s="185" t="s">
        <v>2341</v>
      </c>
    </row>
    <row r="62" spans="1:9">
      <c r="A62" s="6">
        <f t="shared" si="3"/>
        <v>59</v>
      </c>
      <c r="B62" s="185" t="str">
        <f t="shared" si="1"/>
        <v>Staffed access(Entry or exit)</v>
      </c>
      <c r="C62" s="6">
        <f t="shared" si="2"/>
        <v>59</v>
      </c>
      <c r="D62" s="185" t="s">
        <v>145</v>
      </c>
      <c r="E62" s="185" t="s">
        <v>594</v>
      </c>
      <c r="F62" s="185" t="s">
        <v>972</v>
      </c>
      <c r="G62" s="185" t="s">
        <v>1493</v>
      </c>
      <c r="H62" s="185" t="s">
        <v>1921</v>
      </c>
      <c r="I62" s="293" t="s">
        <v>2342</v>
      </c>
    </row>
    <row r="63" spans="1:9" ht="42.75">
      <c r="A63" s="6">
        <f t="shared" si="3"/>
        <v>60</v>
      </c>
      <c r="B63" s="185" t="str">
        <f t="shared" si="1"/>
        <v>Entry/Exit of the building: width between structure (per lane)
(&lt; 3 m =0, 3 – 3.3 m =1, &gt; 3.3 m = 2)</v>
      </c>
      <c r="C63" s="6">
        <f t="shared" si="2"/>
        <v>60</v>
      </c>
      <c r="D63" s="185" t="s">
        <v>484</v>
      </c>
      <c r="E63" s="185" t="s">
        <v>2785</v>
      </c>
      <c r="F63" s="185" t="s">
        <v>973</v>
      </c>
      <c r="G63" s="185" t="s">
        <v>1659</v>
      </c>
      <c r="H63" s="185" t="s">
        <v>1922</v>
      </c>
      <c r="I63" s="185" t="s">
        <v>2343</v>
      </c>
    </row>
    <row r="64" spans="1:9" ht="28.5">
      <c r="A64" s="6">
        <f t="shared" si="3"/>
        <v>61</v>
      </c>
      <c r="B64" s="185" t="str">
        <f t="shared" si="1"/>
        <v>Exit: exit slope ends at least 5 meters before crossing traffic (pedestrians/cyclists):</v>
      </c>
      <c r="C64" s="6">
        <f t="shared" si="2"/>
        <v>61</v>
      </c>
      <c r="D64" s="185" t="s">
        <v>146</v>
      </c>
      <c r="E64" s="185" t="s">
        <v>2786</v>
      </c>
      <c r="F64" s="185" t="s">
        <v>974</v>
      </c>
      <c r="G64" s="185" t="s">
        <v>1494</v>
      </c>
      <c r="H64" s="185" t="s">
        <v>1923</v>
      </c>
      <c r="I64" s="185" t="s">
        <v>2344</v>
      </c>
    </row>
    <row r="65" spans="1:9">
      <c r="A65" s="6">
        <f t="shared" si="3"/>
        <v>62</v>
      </c>
      <c r="B65" s="185" t="str">
        <f t="shared" si="1"/>
        <v>subtotal  car entry/exit</v>
      </c>
      <c r="C65" s="6">
        <f t="shared" si="2"/>
        <v>62</v>
      </c>
      <c r="D65" s="185" t="s">
        <v>5</v>
      </c>
      <c r="E65" s="185" t="s">
        <v>595</v>
      </c>
      <c r="F65" s="185" t="s">
        <v>975</v>
      </c>
      <c r="G65" s="185" t="s">
        <v>1495</v>
      </c>
      <c r="H65" s="185" t="s">
        <v>1924</v>
      </c>
      <c r="I65" s="185" t="s">
        <v>2345</v>
      </c>
    </row>
    <row r="66" spans="1:9">
      <c r="A66" s="6">
        <f t="shared" si="3"/>
        <v>63</v>
      </c>
      <c r="B66" s="185" t="str">
        <f t="shared" si="1"/>
        <v>Parking Area</v>
      </c>
      <c r="C66" s="6">
        <f t="shared" si="2"/>
        <v>63</v>
      </c>
      <c r="D66" s="185" t="s">
        <v>147</v>
      </c>
      <c r="E66" s="185" t="s">
        <v>2787</v>
      </c>
      <c r="F66" s="185" t="s">
        <v>976</v>
      </c>
      <c r="G66" s="185" t="s">
        <v>1496</v>
      </c>
      <c r="H66" s="185" t="s">
        <v>1925</v>
      </c>
      <c r="I66" s="185" t="s">
        <v>2346</v>
      </c>
    </row>
    <row r="67" spans="1:9" ht="71.25">
      <c r="A67" s="6">
        <f t="shared" si="3"/>
        <v>64</v>
      </c>
      <c r="B67" s="185" t="str">
        <f t="shared" si="1"/>
        <v>Pillar placement for at least 85% of bays:
• does not intrude into the parking area = 8 
• at beginning of stall = 0
• next to car door = 0
• at back of stall but intrudes into the parking area = 4</v>
      </c>
      <c r="C67" s="6">
        <f t="shared" si="2"/>
        <v>64</v>
      </c>
      <c r="D67" s="185" t="s">
        <v>686</v>
      </c>
      <c r="E67" s="185" t="s">
        <v>685</v>
      </c>
      <c r="F67" s="185" t="s">
        <v>977</v>
      </c>
      <c r="G67" s="185" t="s">
        <v>1660</v>
      </c>
      <c r="H67" s="185" t="s">
        <v>1926</v>
      </c>
      <c r="I67" s="185" t="s">
        <v>2347</v>
      </c>
    </row>
    <row r="68" spans="1:9" ht="42.75">
      <c r="A68" s="6">
        <f t="shared" si="3"/>
        <v>65</v>
      </c>
      <c r="B68" s="185" t="str">
        <f t="shared" ref="B68:B131" si="4">IF(ISBLANK(VLOOKUP(A68,$C$4:$V$9989,1+$A$1)),D68,VLOOKUP(A68,$C$4:$V$9989,1+$A$1))</f>
        <v>Visibility (many/few dead corners, walls in the car park etc.)
Good=4, Medium=2 or Bad=0</v>
      </c>
      <c r="C68" s="6">
        <f t="shared" si="2"/>
        <v>65</v>
      </c>
      <c r="D68" s="185" t="s">
        <v>232</v>
      </c>
      <c r="E68" s="185" t="s">
        <v>687</v>
      </c>
      <c r="F68" s="185" t="s">
        <v>978</v>
      </c>
      <c r="G68" s="185" t="s">
        <v>1661</v>
      </c>
      <c r="H68" s="185" t="s">
        <v>1927</v>
      </c>
      <c r="I68" s="185" t="s">
        <v>2348</v>
      </c>
    </row>
    <row r="69" spans="1:9">
      <c r="A69" s="6">
        <f t="shared" si="3"/>
        <v>66</v>
      </c>
      <c r="B69" s="185" t="str">
        <f t="shared" si="4"/>
        <v>Signage for car driver:</v>
      </c>
      <c r="C69" s="6">
        <f t="shared" si="2"/>
        <v>66</v>
      </c>
      <c r="D69" s="185" t="s">
        <v>1325</v>
      </c>
      <c r="E69" s="185" t="s">
        <v>596</v>
      </c>
      <c r="F69" s="185" t="s">
        <v>979</v>
      </c>
      <c r="G69" s="185" t="s">
        <v>1497</v>
      </c>
      <c r="H69" s="185" t="s">
        <v>1928</v>
      </c>
      <c r="I69" s="185" t="s">
        <v>2349</v>
      </c>
    </row>
    <row r="70" spans="1:9">
      <c r="A70" s="6">
        <f t="shared" si="3"/>
        <v>67</v>
      </c>
      <c r="B70" s="185" t="str">
        <f t="shared" si="4"/>
        <v>Do traffic signs conform to national road code?</v>
      </c>
      <c r="C70" s="6">
        <f t="shared" si="2"/>
        <v>67</v>
      </c>
      <c r="D70" s="185" t="s">
        <v>1326</v>
      </c>
      <c r="E70" s="185" t="s">
        <v>597</v>
      </c>
      <c r="F70" s="185" t="s">
        <v>980</v>
      </c>
      <c r="G70" s="185" t="s">
        <v>1498</v>
      </c>
      <c r="H70" s="185" t="s">
        <v>1929</v>
      </c>
      <c r="I70" s="185" t="s">
        <v>2350</v>
      </c>
    </row>
    <row r="71" spans="1:9" ht="28.5">
      <c r="A71" s="6">
        <f t="shared" si="3"/>
        <v>68</v>
      </c>
      <c r="B71" s="185" t="str">
        <f t="shared" si="4"/>
        <v xml:space="preserve">Routing and turn signs: Is signage clear, complete and unambiguous? </v>
      </c>
      <c r="C71" s="6">
        <f t="shared" si="2"/>
        <v>68</v>
      </c>
      <c r="D71" s="185" t="s">
        <v>152</v>
      </c>
      <c r="E71" s="185" t="s">
        <v>598</v>
      </c>
      <c r="F71" s="185" t="s">
        <v>981</v>
      </c>
      <c r="G71" s="185" t="s">
        <v>1499</v>
      </c>
      <c r="H71" s="185" t="s">
        <v>1930</v>
      </c>
      <c r="I71" s="185" t="s">
        <v>2351</v>
      </c>
    </row>
    <row r="72" spans="1:9">
      <c r="A72" s="6">
        <f t="shared" si="3"/>
        <v>69</v>
      </c>
      <c r="B72" s="185" t="str">
        <f t="shared" si="4"/>
        <v>Complete ?</v>
      </c>
      <c r="C72" s="6">
        <f t="shared" si="2"/>
        <v>69</v>
      </c>
      <c r="D72" s="185" t="s">
        <v>1327</v>
      </c>
      <c r="E72" s="185" t="s">
        <v>599</v>
      </c>
      <c r="F72" s="185" t="s">
        <v>982</v>
      </c>
      <c r="G72" s="185" t="s">
        <v>1500</v>
      </c>
      <c r="H72" s="185" t="s">
        <v>1931</v>
      </c>
      <c r="I72" s="185" t="s">
        <v>2352</v>
      </c>
    </row>
    <row r="73" spans="1:9">
      <c r="A73" s="6">
        <f t="shared" si="3"/>
        <v>70</v>
      </c>
      <c r="B73" s="185" t="str">
        <f t="shared" si="4"/>
        <v>Easy to see ?</v>
      </c>
      <c r="C73" s="6">
        <f t="shared" ref="C73:C136" si="5">C72+1</f>
        <v>70</v>
      </c>
      <c r="D73" s="185" t="s">
        <v>154</v>
      </c>
      <c r="E73" s="185" t="s">
        <v>600</v>
      </c>
      <c r="F73" s="185" t="s">
        <v>983</v>
      </c>
      <c r="G73" s="185" t="s">
        <v>1501</v>
      </c>
      <c r="H73" s="185" t="s">
        <v>1932</v>
      </c>
      <c r="I73" s="185" t="s">
        <v>2353</v>
      </c>
    </row>
    <row r="74" spans="1:9">
      <c r="A74" s="6">
        <f t="shared" si="3"/>
        <v>71</v>
      </c>
      <c r="B74" s="185" t="str">
        <f t="shared" si="4"/>
        <v>Unambiguous ?</v>
      </c>
      <c r="C74" s="6">
        <f t="shared" si="5"/>
        <v>71</v>
      </c>
      <c r="D74" s="185" t="s">
        <v>1328</v>
      </c>
      <c r="E74" s="185" t="s">
        <v>601</v>
      </c>
      <c r="F74" s="185" t="s">
        <v>984</v>
      </c>
      <c r="G74" s="185" t="s">
        <v>1502</v>
      </c>
      <c r="H74" s="185" t="s">
        <v>1933</v>
      </c>
      <c r="I74" s="185" t="s">
        <v>2354</v>
      </c>
    </row>
    <row r="75" spans="1:9" ht="28.5">
      <c r="A75" s="6">
        <f t="shared" si="3"/>
        <v>72</v>
      </c>
      <c r="B75" s="185" t="str">
        <f t="shared" si="4"/>
        <v xml:space="preserve">Exit signs in the car park: Is signage clear, complete and unambiguous? </v>
      </c>
      <c r="C75" s="6">
        <f t="shared" si="5"/>
        <v>72</v>
      </c>
      <c r="D75" s="185" t="s">
        <v>153</v>
      </c>
      <c r="E75" s="185" t="s">
        <v>602</v>
      </c>
      <c r="F75" s="185" t="s">
        <v>985</v>
      </c>
      <c r="G75" s="185" t="s">
        <v>1503</v>
      </c>
      <c r="H75" s="185" t="s">
        <v>1934</v>
      </c>
      <c r="I75" s="185" t="s">
        <v>2355</v>
      </c>
    </row>
    <row r="76" spans="1:9">
      <c r="A76" s="6">
        <f t="shared" si="3"/>
        <v>73</v>
      </c>
      <c r="B76" s="185" t="str">
        <f t="shared" si="4"/>
        <v>Complete ?</v>
      </c>
      <c r="C76" s="6">
        <f t="shared" si="5"/>
        <v>73</v>
      </c>
      <c r="D76" s="185" t="s">
        <v>1327</v>
      </c>
      <c r="E76" s="185" t="s">
        <v>599</v>
      </c>
      <c r="F76" s="185" t="s">
        <v>982</v>
      </c>
      <c r="G76" s="185" t="s">
        <v>1500</v>
      </c>
      <c r="H76" s="185" t="s">
        <v>1931</v>
      </c>
      <c r="I76" s="185" t="s">
        <v>2352</v>
      </c>
    </row>
    <row r="77" spans="1:9">
      <c r="A77" s="6">
        <f t="shared" si="3"/>
        <v>74</v>
      </c>
      <c r="B77" s="185" t="str">
        <f t="shared" si="4"/>
        <v>Easy to see ?</v>
      </c>
      <c r="C77" s="6">
        <f t="shared" si="5"/>
        <v>74</v>
      </c>
      <c r="D77" s="185" t="s">
        <v>154</v>
      </c>
      <c r="E77" s="185" t="s">
        <v>600</v>
      </c>
      <c r="F77" s="185" t="s">
        <v>983</v>
      </c>
      <c r="G77" s="185" t="s">
        <v>1501</v>
      </c>
      <c r="H77" s="185" t="s">
        <v>1932</v>
      </c>
      <c r="I77" s="185" t="s">
        <v>2353</v>
      </c>
    </row>
    <row r="78" spans="1:9">
      <c r="A78" s="6">
        <f t="shared" si="3"/>
        <v>75</v>
      </c>
      <c r="B78" s="185" t="str">
        <f t="shared" si="4"/>
        <v>Unambiguous ?</v>
      </c>
      <c r="C78" s="6">
        <f t="shared" si="5"/>
        <v>75</v>
      </c>
      <c r="D78" s="185" t="s">
        <v>1328</v>
      </c>
      <c r="E78" s="185" t="s">
        <v>601</v>
      </c>
      <c r="F78" s="185" t="s">
        <v>986</v>
      </c>
      <c r="G78" s="185" t="s">
        <v>1502</v>
      </c>
      <c r="H78" s="185" t="s">
        <v>1933</v>
      </c>
      <c r="I78" s="185" t="s">
        <v>2354</v>
      </c>
    </row>
    <row r="79" spans="1:9">
      <c r="A79" s="6">
        <f t="shared" si="3"/>
        <v>76</v>
      </c>
      <c r="B79" s="185" t="str">
        <f t="shared" si="4"/>
        <v>Parking bay marks</v>
      </c>
      <c r="C79" s="6">
        <f t="shared" si="5"/>
        <v>76</v>
      </c>
      <c r="D79" s="185" t="s">
        <v>1329</v>
      </c>
      <c r="E79" s="185" t="s">
        <v>603</v>
      </c>
      <c r="F79" s="185" t="s">
        <v>987</v>
      </c>
      <c r="G79" s="185" t="s">
        <v>1504</v>
      </c>
      <c r="H79" s="185" t="s">
        <v>1935</v>
      </c>
      <c r="I79" s="185" t="s">
        <v>2356</v>
      </c>
    </row>
    <row r="80" spans="1:9">
      <c r="A80" s="6">
        <f t="shared" si="3"/>
        <v>77</v>
      </c>
      <c r="B80" s="185" t="str">
        <f t="shared" si="4"/>
        <v>Parking bays are clearly marked ?</v>
      </c>
      <c r="C80" s="6">
        <f t="shared" si="5"/>
        <v>77</v>
      </c>
      <c r="D80" s="185" t="s">
        <v>155</v>
      </c>
      <c r="E80" s="185" t="s">
        <v>604</v>
      </c>
      <c r="F80" s="185" t="s">
        <v>988</v>
      </c>
      <c r="G80" s="185" t="s">
        <v>1505</v>
      </c>
      <c r="H80" s="185" t="s">
        <v>1936</v>
      </c>
      <c r="I80" s="185" t="s">
        <v>2357</v>
      </c>
    </row>
    <row r="81" spans="1:9" ht="28.5">
      <c r="A81" s="6">
        <f t="shared" si="3"/>
        <v>78</v>
      </c>
      <c r="B81" s="185" t="str">
        <f t="shared" si="4"/>
        <v>Bay markings extend up walls to assist driver ?</v>
      </c>
      <c r="C81" s="6">
        <f t="shared" si="5"/>
        <v>78</v>
      </c>
      <c r="D81" s="185" t="s">
        <v>156</v>
      </c>
      <c r="E81" s="185" t="s">
        <v>605</v>
      </c>
      <c r="F81" s="185" t="s">
        <v>989</v>
      </c>
      <c r="G81" s="185" t="s">
        <v>1506</v>
      </c>
      <c r="H81" s="185" t="s">
        <v>1937</v>
      </c>
      <c r="I81" s="185" t="s">
        <v>2358</v>
      </c>
    </row>
    <row r="82" spans="1:9">
      <c r="A82" s="6">
        <f t="shared" si="3"/>
        <v>79</v>
      </c>
      <c r="B82" s="185" t="str">
        <f t="shared" si="4"/>
        <v>Are Road Markings:</v>
      </c>
      <c r="C82" s="6">
        <f t="shared" si="5"/>
        <v>79</v>
      </c>
      <c r="D82" s="185" t="s">
        <v>158</v>
      </c>
      <c r="E82" s="185" t="s">
        <v>606</v>
      </c>
      <c r="F82" s="185" t="s">
        <v>990</v>
      </c>
      <c r="G82" s="185" t="s">
        <v>1507</v>
      </c>
      <c r="H82" s="185" t="s">
        <v>1938</v>
      </c>
      <c r="I82" s="185" t="s">
        <v>2359</v>
      </c>
    </row>
    <row r="83" spans="1:9">
      <c r="A83" s="6">
        <f t="shared" si="3"/>
        <v>80</v>
      </c>
      <c r="B83" s="185" t="str">
        <f t="shared" si="4"/>
        <v>Complete ?</v>
      </c>
      <c r="C83" s="6">
        <f t="shared" si="5"/>
        <v>80</v>
      </c>
      <c r="D83" s="185" t="s">
        <v>1327</v>
      </c>
      <c r="E83" s="185" t="s">
        <v>599</v>
      </c>
      <c r="F83" s="185" t="s">
        <v>991</v>
      </c>
      <c r="G83" s="185" t="s">
        <v>1500</v>
      </c>
      <c r="H83" s="185" t="s">
        <v>1931</v>
      </c>
      <c r="I83" s="185" t="s">
        <v>2360</v>
      </c>
    </row>
    <row r="84" spans="1:9">
      <c r="A84" s="6">
        <f t="shared" si="3"/>
        <v>81</v>
      </c>
      <c r="B84" s="185" t="str">
        <f t="shared" si="4"/>
        <v>Easy to see ?</v>
      </c>
      <c r="C84" s="6">
        <f t="shared" si="5"/>
        <v>81</v>
      </c>
      <c r="D84" s="185" t="s">
        <v>154</v>
      </c>
      <c r="E84" s="185" t="s">
        <v>600</v>
      </c>
      <c r="F84" s="185" t="s">
        <v>983</v>
      </c>
      <c r="G84" s="185" t="s">
        <v>1501</v>
      </c>
      <c r="H84" s="185" t="s">
        <v>1932</v>
      </c>
      <c r="I84" s="185" t="s">
        <v>2361</v>
      </c>
    </row>
    <row r="85" spans="1:9">
      <c r="A85" s="6">
        <f t="shared" si="3"/>
        <v>82</v>
      </c>
      <c r="B85" s="185" t="str">
        <f t="shared" si="4"/>
        <v>Unambiguous ?</v>
      </c>
      <c r="C85" s="6">
        <f t="shared" si="5"/>
        <v>82</v>
      </c>
      <c r="D85" s="185" t="s">
        <v>1328</v>
      </c>
      <c r="E85" s="185" t="s">
        <v>601</v>
      </c>
      <c r="F85" s="185" t="s">
        <v>986</v>
      </c>
      <c r="G85" s="185" t="s">
        <v>1502</v>
      </c>
      <c r="H85" s="185" t="s">
        <v>1933</v>
      </c>
      <c r="I85" s="185" t="s">
        <v>2362</v>
      </c>
    </row>
    <row r="86" spans="1:9" ht="28.5">
      <c r="A86" s="6">
        <f t="shared" si="3"/>
        <v>83</v>
      </c>
      <c r="B86" s="185" t="str">
        <f t="shared" si="4"/>
        <v>Availability of spaces for disabled with wheelchair access anounced at the entrance the car park:</v>
      </c>
      <c r="C86" s="6">
        <f t="shared" si="5"/>
        <v>83</v>
      </c>
      <c r="D86" s="185" t="s">
        <v>161</v>
      </c>
      <c r="E86" s="185" t="s">
        <v>607</v>
      </c>
      <c r="F86" s="185" t="s">
        <v>992</v>
      </c>
      <c r="G86" s="185" t="s">
        <v>1508</v>
      </c>
      <c r="H86" s="185" t="s">
        <v>1939</v>
      </c>
      <c r="I86" s="291" t="s">
        <v>2363</v>
      </c>
    </row>
    <row r="87" spans="1:9">
      <c r="A87" s="6">
        <f t="shared" si="3"/>
        <v>84</v>
      </c>
      <c r="B87" s="185" t="str">
        <f t="shared" si="4"/>
        <v>Accessible for wheelchair ?</v>
      </c>
      <c r="C87" s="6">
        <f t="shared" si="5"/>
        <v>84</v>
      </c>
      <c r="D87" s="185" t="s">
        <v>159</v>
      </c>
      <c r="E87" s="185" t="s">
        <v>608</v>
      </c>
      <c r="F87" s="185" t="s">
        <v>993</v>
      </c>
      <c r="G87" s="185" t="s">
        <v>1509</v>
      </c>
      <c r="H87" s="185" t="s">
        <v>1940</v>
      </c>
      <c r="I87" s="185" t="s">
        <v>2364</v>
      </c>
    </row>
    <row r="88" spans="1:9">
      <c r="A88" s="6">
        <f t="shared" si="3"/>
        <v>85</v>
      </c>
      <c r="B88" s="185" t="str">
        <f t="shared" si="4"/>
        <v>Bays minimum 3.5 m wide ?</v>
      </c>
      <c r="C88" s="6">
        <f t="shared" si="5"/>
        <v>85</v>
      </c>
      <c r="D88" s="185" t="s">
        <v>278</v>
      </c>
      <c r="E88" s="185" t="s">
        <v>609</v>
      </c>
      <c r="F88" s="185" t="s">
        <v>994</v>
      </c>
      <c r="G88" s="185" t="s">
        <v>1510</v>
      </c>
      <c r="H88" s="185" t="s">
        <v>1941</v>
      </c>
      <c r="I88" s="185" t="s">
        <v>2365</v>
      </c>
    </row>
    <row r="89" spans="1:9">
      <c r="A89" s="6">
        <f t="shared" si="3"/>
        <v>86</v>
      </c>
      <c r="B89" s="185" t="str">
        <f t="shared" si="4"/>
        <v>Close to pedestrian exit ?</v>
      </c>
      <c r="C89" s="6">
        <f t="shared" si="5"/>
        <v>86</v>
      </c>
      <c r="D89" s="185" t="s">
        <v>160</v>
      </c>
      <c r="E89" s="185" t="s">
        <v>610</v>
      </c>
      <c r="F89" s="185" t="s">
        <v>995</v>
      </c>
      <c r="G89" s="185" t="s">
        <v>1511</v>
      </c>
      <c r="H89" s="185" t="s">
        <v>1942</v>
      </c>
      <c r="I89" s="185" t="s">
        <v>2366</v>
      </c>
    </row>
    <row r="90" spans="1:9">
      <c r="A90" s="6">
        <f t="shared" si="3"/>
        <v>87</v>
      </c>
      <c r="B90" s="185" t="str">
        <f t="shared" si="4"/>
        <v>Guidance to disabled spaces ?</v>
      </c>
      <c r="C90" s="6">
        <f t="shared" si="5"/>
        <v>87</v>
      </c>
      <c r="D90" s="185" t="s">
        <v>1330</v>
      </c>
      <c r="E90" s="185" t="s">
        <v>1344</v>
      </c>
      <c r="F90" s="185" t="s">
        <v>996</v>
      </c>
      <c r="G90" s="185" t="s">
        <v>1512</v>
      </c>
      <c r="H90" s="185" t="s">
        <v>1943</v>
      </c>
      <c r="I90" s="291" t="s">
        <v>2367</v>
      </c>
    </row>
    <row r="91" spans="1:9" ht="28.5">
      <c r="A91" s="6">
        <f t="shared" si="3"/>
        <v>88</v>
      </c>
      <c r="B91" s="185" t="str">
        <f t="shared" si="4"/>
        <v>Parking angle at 85 % of bays:
(Angle 76-90° = 0, Angle  45-75° = 2)</v>
      </c>
      <c r="C91" s="6">
        <f t="shared" si="5"/>
        <v>88</v>
      </c>
      <c r="D91" s="185" t="s">
        <v>279</v>
      </c>
      <c r="E91" s="185" t="s">
        <v>1331</v>
      </c>
      <c r="F91" s="185" t="s">
        <v>997</v>
      </c>
      <c r="G91" s="185" t="s">
        <v>1513</v>
      </c>
      <c r="H91" s="185" t="s">
        <v>1944</v>
      </c>
      <c r="I91" s="185" t="s">
        <v>2368</v>
      </c>
    </row>
    <row r="92" spans="1:9" ht="114">
      <c r="A92" s="6">
        <f t="shared" si="3"/>
        <v>89</v>
      </c>
      <c r="B92" s="185" t="str">
        <f t="shared" si="4"/>
        <v>Width of bays (85 % of bays), A or B: 
A: Parking angle 76 – 90 degrees
(2.25m = -5, 2.30m = 0, 2.35m = 2, 2.40m = 4, 2.45m = 6, 2.50m = 8) 
B: Parking angle 45-75 degrees
(2.25m = -5, 2.30m = 1, 2.35m = 3, 2.40m = 5, 2.45m = 8)
Width of 2.25m only applies for renovated car parks, new car parks must be minimum 2.30m</v>
      </c>
      <c r="C92" s="6">
        <f t="shared" si="5"/>
        <v>89</v>
      </c>
      <c r="D92" s="185" t="s">
        <v>280</v>
      </c>
      <c r="E92" s="185" t="s">
        <v>2788</v>
      </c>
      <c r="F92" s="185" t="s">
        <v>998</v>
      </c>
      <c r="G92" s="185" t="s">
        <v>1662</v>
      </c>
      <c r="H92" s="185" t="s">
        <v>1945</v>
      </c>
      <c r="I92" s="185" t="s">
        <v>2369</v>
      </c>
    </row>
    <row r="93" spans="1:9" ht="270.75">
      <c r="A93" s="6">
        <f t="shared" si="3"/>
        <v>90</v>
      </c>
      <c r="B93" s="185" t="str">
        <f t="shared" si="4"/>
        <v>Total unit measure of one way isle width and
depth of two parking bays, depending on parking angle and bay width:
Bay width: 2.50m / 2.45m / 2.40m / 2.35m / 2.30m
90° :           16.00 /  16.30 /  16.60 /  16.90 / 17.30
85° :           15.70 /  16.00 /  16.30 /  16.60 / 16.95
80° :           15.40 /  15.70 /  16.00 /  16.30 / 16.60
75° :           14.95 /  15.25 /  15.55 /  15.85 / 16.15
70° :           14.50 /  14.80 /  15.10 /  15.40 / 15.70
65° :           14.40 /  14.40 /  14.55 /  14.80 / 15.10
60° :           14.30 /  14.30 /  14.30 /  14.30 / 14.50
55° :           14.00 /  14.00 /  14.00 /  14.00 / 14.10
50° :           13.75 /  13.75 /  13.75 /  13.75 / 13.75
45° :           13.50 /  13.50 /  13.50 /  13.50 / 13.50
Total unit measure as above qualifies for 3 points. 
Up to 30 cm less qualifies for 2 points
Up to 60 cm less qualifies for 1 point
More than 60 cm less: no points given</v>
      </c>
      <c r="C93" s="6">
        <f t="shared" si="5"/>
        <v>90</v>
      </c>
      <c r="D93" s="185" t="s">
        <v>82</v>
      </c>
      <c r="E93" s="185" t="s">
        <v>688</v>
      </c>
      <c r="F93" s="185" t="s">
        <v>999</v>
      </c>
      <c r="G93" s="185" t="s">
        <v>1663</v>
      </c>
      <c r="H93" s="185" t="s">
        <v>1946</v>
      </c>
      <c r="I93" s="291" t="s">
        <v>2370</v>
      </c>
    </row>
    <row r="94" spans="1:9" ht="42.75">
      <c r="A94" s="6">
        <f t="shared" si="3"/>
        <v>91</v>
      </c>
      <c r="B94" s="185" t="str">
        <f t="shared" si="4"/>
        <v>Kerb design to avoid damage to average vehicle’s wheels
•  Yes = 2, No protection = 0</v>
      </c>
      <c r="C94" s="6">
        <f t="shared" si="5"/>
        <v>91</v>
      </c>
      <c r="D94" s="185" t="s">
        <v>281</v>
      </c>
      <c r="E94" s="185" t="s">
        <v>689</v>
      </c>
      <c r="F94" s="185" t="s">
        <v>1000</v>
      </c>
      <c r="G94" s="185" t="s">
        <v>1664</v>
      </c>
      <c r="H94" s="185" t="s">
        <v>1947</v>
      </c>
      <c r="I94" s="185" t="s">
        <v>2371</v>
      </c>
    </row>
    <row r="95" spans="1:9">
      <c r="A95" s="6">
        <f t="shared" si="3"/>
        <v>92</v>
      </c>
      <c r="B95" s="185" t="str">
        <f t="shared" si="4"/>
        <v>Vehicle Ramps</v>
      </c>
      <c r="C95" s="6">
        <f t="shared" si="5"/>
        <v>92</v>
      </c>
      <c r="D95" s="185" t="s">
        <v>482</v>
      </c>
      <c r="E95" s="185" t="s">
        <v>611</v>
      </c>
      <c r="F95" s="185" t="s">
        <v>1001</v>
      </c>
      <c r="G95" s="185" t="s">
        <v>1514</v>
      </c>
      <c r="H95" s="185" t="s">
        <v>1948</v>
      </c>
      <c r="I95" s="185" t="s">
        <v>2372</v>
      </c>
    </row>
    <row r="96" spans="1:9" ht="28.5">
      <c r="A96" s="6">
        <f t="shared" si="3"/>
        <v>93</v>
      </c>
      <c r="B96" s="185" t="str">
        <f t="shared" si="4"/>
        <v>Is this a Single level car park without vehicular ramps or ramper floor?</v>
      </c>
      <c r="C96" s="6">
        <f t="shared" si="5"/>
        <v>93</v>
      </c>
      <c r="D96" s="185" t="s">
        <v>162</v>
      </c>
      <c r="E96" s="185" t="s">
        <v>2789</v>
      </c>
      <c r="F96" s="185" t="s">
        <v>1002</v>
      </c>
      <c r="G96" s="185" t="s">
        <v>1515</v>
      </c>
      <c r="H96" s="185" t="s">
        <v>1949</v>
      </c>
      <c r="I96" s="185" t="s">
        <v>2373</v>
      </c>
    </row>
    <row r="97" spans="1:9" ht="25.5">
      <c r="A97" s="6">
        <f t="shared" si="3"/>
        <v>94</v>
      </c>
      <c r="B97" s="187" t="str">
        <f t="shared" si="4"/>
        <v>Ramp surface between parking areas (Anti slip 1, Smooth 0, no ramps 1)</v>
      </c>
      <c r="C97" s="6">
        <f t="shared" si="5"/>
        <v>94</v>
      </c>
      <c r="D97" s="187" t="s">
        <v>166</v>
      </c>
      <c r="E97" s="187" t="s">
        <v>1332</v>
      </c>
      <c r="F97" s="187" t="s">
        <v>1003</v>
      </c>
      <c r="G97" s="187" t="s">
        <v>1516</v>
      </c>
      <c r="H97" s="187" t="s">
        <v>1950</v>
      </c>
      <c r="I97" s="294" t="s">
        <v>2374</v>
      </c>
    </row>
    <row r="98" spans="1:9" ht="38.25">
      <c r="A98" s="6">
        <f t="shared" si="3"/>
        <v>95</v>
      </c>
      <c r="B98" s="187" t="str">
        <f t="shared" si="4"/>
        <v>Ramp longitudinal gradient connecting ramps (not used for parking)
•  &lt;10%=3, 10-15%=1, &gt;15%=0, no ramps=3</v>
      </c>
      <c r="C98" s="6">
        <f t="shared" si="5"/>
        <v>95</v>
      </c>
      <c r="D98" s="187" t="s">
        <v>171</v>
      </c>
      <c r="E98" s="187" t="s">
        <v>1333</v>
      </c>
      <c r="F98" s="187" t="s">
        <v>1004</v>
      </c>
      <c r="G98" s="187" t="s">
        <v>1665</v>
      </c>
      <c r="H98" s="187" t="s">
        <v>1951</v>
      </c>
      <c r="I98" s="295" t="s">
        <v>2375</v>
      </c>
    </row>
    <row r="99" spans="1:9" ht="25.5">
      <c r="A99" s="6">
        <f t="shared" si="3"/>
        <v>96</v>
      </c>
      <c r="B99" s="187" t="str">
        <f t="shared" si="4"/>
        <v xml:space="preserve">Ramp width (between kerbs) all ramps measured at narrowest point </v>
      </c>
      <c r="C99" s="6">
        <f t="shared" si="5"/>
        <v>96</v>
      </c>
      <c r="D99" s="187" t="s">
        <v>1334</v>
      </c>
      <c r="E99" s="187" t="s">
        <v>612</v>
      </c>
      <c r="F99" s="187" t="s">
        <v>1005</v>
      </c>
      <c r="G99" s="187" t="s">
        <v>1517</v>
      </c>
      <c r="H99" s="187" t="s">
        <v>1952</v>
      </c>
      <c r="I99" s="294" t="s">
        <v>2376</v>
      </c>
    </row>
    <row r="100" spans="1:9" ht="25.5">
      <c r="A100" s="6">
        <f t="shared" si="3"/>
        <v>97</v>
      </c>
      <c r="B100" s="188" t="str">
        <f t="shared" si="4"/>
        <v>Curved ramps must be 1 m wider for same score. Are the ramps curbed?</v>
      </c>
      <c r="C100" s="6">
        <f t="shared" si="5"/>
        <v>97</v>
      </c>
      <c r="D100" s="188" t="s">
        <v>172</v>
      </c>
      <c r="E100" s="188" t="s">
        <v>690</v>
      </c>
      <c r="F100" s="188" t="s">
        <v>1006</v>
      </c>
      <c r="G100" s="188" t="s">
        <v>1518</v>
      </c>
      <c r="H100" s="188" t="s">
        <v>1953</v>
      </c>
      <c r="I100" s="296" t="s">
        <v>2377</v>
      </c>
    </row>
    <row r="101" spans="1:9" ht="27">
      <c r="A101" s="6">
        <f t="shared" si="3"/>
        <v>98</v>
      </c>
      <c r="B101" s="189" t="str">
        <f t="shared" si="4"/>
        <v>Please choose width. &lt; 3m=0, 3-3.3m=1, &gt;3.3m=2, no ramps=2</v>
      </c>
      <c r="C101" s="6">
        <f t="shared" si="5"/>
        <v>98</v>
      </c>
      <c r="D101" s="189" t="str">
        <f>CONCATENATE("Please choose width. ",IF(rampsCurved=yes,"&lt; 4m=0, 4-4.3m=1, &gt;4.3m=2, no ramps=2","&lt; 3m=0, 3-3.3m=1, &gt;3.3m=2, no ramps=2"))</f>
        <v>Please choose width. &lt; 3m=0, 3-3.3m=1, &gt;3.3m=2, no ramps=2</v>
      </c>
      <c r="E101" s="189" t="s">
        <v>2790</v>
      </c>
      <c r="F101" s="189" t="str">
        <f>CONCATENATE("Largeur ",IF(rampsCurved=yes,"&lt; 4m=0, 4-4.3m=1, &gt;4.3m=2, pas de rampe=2","&lt; 3m=0, 3-3.3m=1, &gt;3.3m=2, pas de rampe=2"))</f>
        <v>Largeur &lt; 3m=0, 3-3.3m=1, &gt;3.3m=2, pas de rampe=2</v>
      </c>
      <c r="G101" s="189" t="s">
        <v>2750</v>
      </c>
      <c r="H101" s="189" t="str">
        <f>CONCATENATE("Elegir el ancho ",IF(rampsCurved=yes,"&lt; 4m=0, 4-4.3m=1, &gt;4.3m=2, sin rampas=2","&lt; 3m=0, 3-3.3m=1, &gt;3.3m=2, sin rampas=2"))</f>
        <v>Elegir el ancho &lt; 3m=0, 3-3.3m=1, &gt;3.3m=2, sin rampas=2</v>
      </c>
      <c r="I101" s="297" t="str">
        <f>CONCATENATE("Selecionar a Largura ",IF(rampsCurved=yes,"&lt; 4m=0, 4-4.3m=1, &gt;4.3m=2, sem rampas=2","&lt; 3m=0, 3-3.3m=1, &gt;3.3m=2, sem rampas=2"))</f>
        <v>Selecionar a Largura &lt; 3m=0, 3-3.3m=1, &gt;3.3m=2, sem rampas=2</v>
      </c>
    </row>
    <row r="102" spans="1:9" ht="51">
      <c r="A102" s="6">
        <f t="shared" si="3"/>
        <v>99</v>
      </c>
      <c r="B102" s="187" t="str">
        <f t="shared" si="4"/>
        <v>Ramp curvature (external radius) curved ramps
•  up to 9m=0, 9–10 m=1, &gt;10m=2, no ramps=2
At dual way ramps this measure refers to the inner lane.</v>
      </c>
      <c r="C102" s="6">
        <f t="shared" si="5"/>
        <v>99</v>
      </c>
      <c r="D102" s="187" t="s">
        <v>178</v>
      </c>
      <c r="E102" s="187" t="s">
        <v>1335</v>
      </c>
      <c r="F102" s="187" t="s">
        <v>1007</v>
      </c>
      <c r="G102" s="187" t="s">
        <v>1666</v>
      </c>
      <c r="H102" s="187" t="s">
        <v>1954</v>
      </c>
      <c r="I102" s="294" t="s">
        <v>2499</v>
      </c>
    </row>
    <row r="103" spans="1:9" ht="25.5">
      <c r="A103" s="6">
        <f t="shared" si="3"/>
        <v>100</v>
      </c>
      <c r="B103" s="187" t="str">
        <f t="shared" si="4"/>
        <v>Approach curve to straight ramps
•  &lt;7.5m=0, 7.5–9m=1, &gt;9m=2, no ramps=2</v>
      </c>
      <c r="C103" s="6">
        <f t="shared" si="5"/>
        <v>100</v>
      </c>
      <c r="D103" s="187" t="s">
        <v>179</v>
      </c>
      <c r="E103" s="187" t="s">
        <v>691</v>
      </c>
      <c r="F103" s="187" t="s">
        <v>1008</v>
      </c>
      <c r="G103" s="187" t="s">
        <v>1667</v>
      </c>
      <c r="H103" s="187" t="s">
        <v>1955</v>
      </c>
      <c r="I103" s="295" t="s">
        <v>2378</v>
      </c>
    </row>
    <row r="104" spans="1:9" ht="25.5">
      <c r="A104" s="6">
        <f t="shared" si="3"/>
        <v>101</v>
      </c>
      <c r="B104" s="187" t="str">
        <f t="shared" si="4"/>
        <v>Ramped parking floor longitudinal gradient
•  &lt;5%=3, 5-7 =1, &gt;7%=0, no gradient=3</v>
      </c>
      <c r="C104" s="6">
        <f t="shared" si="5"/>
        <v>101</v>
      </c>
      <c r="D104" s="187" t="s">
        <v>180</v>
      </c>
      <c r="E104" s="187" t="s">
        <v>692</v>
      </c>
      <c r="F104" s="187" t="s">
        <v>1009</v>
      </c>
      <c r="G104" s="187" t="s">
        <v>1668</v>
      </c>
      <c r="H104" s="187" t="s">
        <v>1956</v>
      </c>
      <c r="I104" s="295" t="s">
        <v>2500</v>
      </c>
    </row>
    <row r="105" spans="1:9">
      <c r="A105" s="6">
        <f t="shared" si="3"/>
        <v>102</v>
      </c>
      <c r="B105" s="185" t="str">
        <f t="shared" si="4"/>
        <v>Pedestrian Access</v>
      </c>
      <c r="C105" s="6">
        <f t="shared" si="5"/>
        <v>102</v>
      </c>
      <c r="D105" s="185" t="s">
        <v>181</v>
      </c>
      <c r="E105" s="185" t="s">
        <v>613</v>
      </c>
      <c r="F105" s="185" t="s">
        <v>1010</v>
      </c>
      <c r="G105" s="185" t="s">
        <v>1519</v>
      </c>
      <c r="H105" s="185" t="s">
        <v>1957</v>
      </c>
      <c r="I105" s="185" t="s">
        <v>2379</v>
      </c>
    </row>
    <row r="106" spans="1:9">
      <c r="A106" s="6">
        <f t="shared" si="3"/>
        <v>103</v>
      </c>
      <c r="B106" s="185" t="str">
        <f t="shared" si="4"/>
        <v>Item List</v>
      </c>
      <c r="C106" s="6">
        <f t="shared" si="5"/>
        <v>103</v>
      </c>
      <c r="D106" s="185" t="s">
        <v>276</v>
      </c>
      <c r="E106" s="185" t="s">
        <v>614</v>
      </c>
      <c r="F106" s="185" t="s">
        <v>1011</v>
      </c>
      <c r="G106" s="185" t="s">
        <v>1520</v>
      </c>
      <c r="H106" s="185" t="s">
        <v>1958</v>
      </c>
      <c r="I106" s="185" t="s">
        <v>2380</v>
      </c>
    </row>
    <row r="107" spans="1:9" ht="71.25">
      <c r="A107" s="6">
        <f t="shared" si="3"/>
        <v>104</v>
      </c>
      <c r="B107" s="185" t="str">
        <f t="shared" si="4"/>
        <v>Headroom for pedestrians - excluding doors
• &lt;2.00m = 0
• 2.00m – 2.10m = 1
• 2.10m – 2.20m = 2
• &gt; 2.20m = 3</v>
      </c>
      <c r="C107" s="6">
        <f t="shared" si="5"/>
        <v>104</v>
      </c>
      <c r="D107" s="185" t="s">
        <v>694</v>
      </c>
      <c r="E107" s="185" t="s">
        <v>693</v>
      </c>
      <c r="F107" s="185" t="s">
        <v>1012</v>
      </c>
      <c r="G107" s="185" t="s">
        <v>1669</v>
      </c>
      <c r="H107" s="185" t="s">
        <v>1959</v>
      </c>
      <c r="I107" s="291" t="s">
        <v>2501</v>
      </c>
    </row>
    <row r="108" spans="1:9" ht="28.5">
      <c r="A108" s="6">
        <f t="shared" si="3"/>
        <v>105</v>
      </c>
      <c r="B108" s="185" t="str">
        <f t="shared" si="4"/>
        <v>Separate walking route (i.e. heightened; zebra stripes or colours) (yes = 2, no = 0)</v>
      </c>
      <c r="C108" s="6">
        <f t="shared" si="5"/>
        <v>105</v>
      </c>
      <c r="D108" s="185" t="s">
        <v>494</v>
      </c>
      <c r="E108" s="185" t="s">
        <v>695</v>
      </c>
      <c r="F108" s="185" t="s">
        <v>1013</v>
      </c>
      <c r="G108" s="185" t="s">
        <v>1521</v>
      </c>
      <c r="H108" s="185" t="s">
        <v>1960</v>
      </c>
      <c r="I108" s="291" t="s">
        <v>2503</v>
      </c>
    </row>
    <row r="109" spans="1:9" ht="57">
      <c r="A109" s="6">
        <f t="shared" si="3"/>
        <v>106</v>
      </c>
      <c r="B109" s="185" t="str">
        <f t="shared" si="4"/>
        <v>Are pedestrian entrance doors easy to use?
(Yes, automatic or open connection = 4, Easy to open = 2, No = 0)</v>
      </c>
      <c r="C109" s="6">
        <f t="shared" si="5"/>
        <v>106</v>
      </c>
      <c r="D109" s="185" t="s">
        <v>193</v>
      </c>
      <c r="E109" s="185" t="s">
        <v>696</v>
      </c>
      <c r="F109" s="185" t="s">
        <v>1014</v>
      </c>
      <c r="G109" s="185" t="s">
        <v>1670</v>
      </c>
      <c r="H109" s="185" t="s">
        <v>1961</v>
      </c>
      <c r="I109" s="185" t="s">
        <v>2502</v>
      </c>
    </row>
    <row r="110" spans="1:9" ht="28.5">
      <c r="A110" s="6">
        <f t="shared" si="3"/>
        <v>107</v>
      </c>
      <c r="B110" s="185" t="str">
        <f t="shared" si="4"/>
        <v>Pedestrian access controlled by ticket/pass card when car park open (Yes=1, No=0)</v>
      </c>
      <c r="C110" s="6">
        <f t="shared" si="5"/>
        <v>107</v>
      </c>
      <c r="D110" s="185" t="s">
        <v>194</v>
      </c>
      <c r="E110" s="185" t="s">
        <v>697</v>
      </c>
      <c r="F110" s="185" t="s">
        <v>1015</v>
      </c>
      <c r="G110" s="185" t="s">
        <v>1522</v>
      </c>
      <c r="H110" s="185" t="s">
        <v>1962</v>
      </c>
      <c r="I110" s="185" t="s">
        <v>2381</v>
      </c>
    </row>
    <row r="111" spans="1:9" ht="42.75">
      <c r="A111" s="6">
        <f t="shared" si="3"/>
        <v>108</v>
      </c>
      <c r="B111" s="185" t="str">
        <f t="shared" si="4"/>
        <v>City plan a central location in car park:
(On Every pedestrian exit = 2, One location = 1, No = 0)</v>
      </c>
      <c r="C111" s="6">
        <f t="shared" si="5"/>
        <v>108</v>
      </c>
      <c r="D111" s="185" t="s">
        <v>197</v>
      </c>
      <c r="E111" s="185" t="s">
        <v>698</v>
      </c>
      <c r="F111" s="185" t="s">
        <v>1016</v>
      </c>
      <c r="G111" s="185" t="s">
        <v>1671</v>
      </c>
      <c r="H111" s="291" t="s">
        <v>1963</v>
      </c>
      <c r="I111" s="185" t="s">
        <v>2504</v>
      </c>
    </row>
    <row r="112" spans="1:9">
      <c r="A112" s="6">
        <f t="shared" si="3"/>
        <v>109</v>
      </c>
      <c r="B112" s="185" t="str">
        <f t="shared" si="4"/>
        <v>Guidance:</v>
      </c>
      <c r="C112" s="6">
        <f t="shared" si="5"/>
        <v>109</v>
      </c>
      <c r="D112" s="185" t="s">
        <v>198</v>
      </c>
      <c r="E112" s="185" t="s">
        <v>615</v>
      </c>
      <c r="F112" s="185" t="s">
        <v>1017</v>
      </c>
      <c r="G112" s="185" t="s">
        <v>1523</v>
      </c>
      <c r="H112" s="185" t="s">
        <v>1964</v>
      </c>
      <c r="I112" s="185" t="s">
        <v>2382</v>
      </c>
    </row>
    <row r="113" spans="1:9" ht="28.5">
      <c r="A113" s="6">
        <f t="shared" si="3"/>
        <v>110</v>
      </c>
      <c r="B113" s="185" t="str">
        <f t="shared" si="4"/>
        <v>to key attractions around the car park at pedestrian exit (Yes=1, No=0):</v>
      </c>
      <c r="C113" s="6">
        <f t="shared" si="5"/>
        <v>110</v>
      </c>
      <c r="D113" s="185" t="s">
        <v>268</v>
      </c>
      <c r="E113" s="185" t="s">
        <v>699</v>
      </c>
      <c r="F113" s="185" t="s">
        <v>1018</v>
      </c>
      <c r="G113" s="185" t="s">
        <v>1524</v>
      </c>
      <c r="H113" s="185" t="s">
        <v>1965</v>
      </c>
      <c r="I113" s="291" t="s">
        <v>2505</v>
      </c>
    </row>
    <row r="114" spans="1:9" ht="28.5">
      <c r="A114" s="6">
        <f t="shared" si="3"/>
        <v>111</v>
      </c>
      <c r="B114" s="185" t="str">
        <f t="shared" si="4"/>
        <v>around the car park to pedestrian entrances (Yes=1, No=0):</v>
      </c>
      <c r="C114" s="6">
        <f t="shared" si="5"/>
        <v>111</v>
      </c>
      <c r="D114" s="185" t="s">
        <v>269</v>
      </c>
      <c r="E114" s="185" t="s">
        <v>700</v>
      </c>
      <c r="F114" s="185" t="s">
        <v>1019</v>
      </c>
      <c r="G114" s="185" t="s">
        <v>1525</v>
      </c>
      <c r="H114" s="185" t="s">
        <v>1966</v>
      </c>
      <c r="I114" s="185" t="s">
        <v>2506</v>
      </c>
    </row>
    <row r="115" spans="1:9" ht="28.5">
      <c r="A115" s="6">
        <f t="shared" si="3"/>
        <v>112</v>
      </c>
      <c r="B115" s="185" t="str">
        <f t="shared" si="4"/>
        <v>Is this a Single level car park at ground floor, (not open surface) ?</v>
      </c>
      <c r="C115" s="6">
        <f t="shared" si="5"/>
        <v>112</v>
      </c>
      <c r="D115" s="185" t="s">
        <v>199</v>
      </c>
      <c r="E115" s="185" t="s">
        <v>2791</v>
      </c>
      <c r="F115" s="185" t="s">
        <v>1020</v>
      </c>
      <c r="G115" s="185" t="s">
        <v>1526</v>
      </c>
      <c r="H115" s="185" t="s">
        <v>1967</v>
      </c>
      <c r="I115" s="185" t="s">
        <v>2507</v>
      </c>
    </row>
    <row r="116" spans="1:9">
      <c r="A116" s="6">
        <f t="shared" si="3"/>
        <v>113</v>
      </c>
      <c r="B116" s="185" t="str">
        <f t="shared" si="4"/>
        <v>Is there elevators serving street level?</v>
      </c>
      <c r="C116" s="6">
        <f t="shared" si="5"/>
        <v>113</v>
      </c>
      <c r="D116" s="185" t="s">
        <v>203</v>
      </c>
      <c r="E116" s="185" t="s">
        <v>616</v>
      </c>
      <c r="F116" s="185" t="s">
        <v>1021</v>
      </c>
      <c r="G116" s="185" t="s">
        <v>1527</v>
      </c>
      <c r="H116" s="185" t="s">
        <v>1968</v>
      </c>
      <c r="I116" s="185" t="s">
        <v>2508</v>
      </c>
    </row>
    <row r="117" spans="1:9" ht="42.75">
      <c r="A117" s="6">
        <f t="shared" si="3"/>
        <v>114</v>
      </c>
      <c r="B117" s="185" t="str">
        <f t="shared" si="4"/>
        <v>Number of Elevators at street level:
(1 elevator = 1, 2 + elevators = 5)</v>
      </c>
      <c r="C117" s="6">
        <f t="shared" si="5"/>
        <v>114</v>
      </c>
      <c r="D117" s="185" t="s">
        <v>495</v>
      </c>
      <c r="E117" s="185" t="s">
        <v>701</v>
      </c>
      <c r="F117" s="185" t="s">
        <v>1022</v>
      </c>
      <c r="G117" s="185" t="s">
        <v>1672</v>
      </c>
      <c r="H117" s="185" t="s">
        <v>1969</v>
      </c>
      <c r="I117" s="185" t="s">
        <v>2509</v>
      </c>
    </row>
    <row r="118" spans="1:9" ht="28.5">
      <c r="A118" s="6">
        <f t="shared" si="3"/>
        <v>115</v>
      </c>
      <c r="B118" s="185" t="str">
        <f t="shared" si="4"/>
        <v>Size of elevators:
(More Than 8 people = 3, 4-8 people = 1, less than 4 = 0)</v>
      </c>
      <c r="C118" s="6">
        <f t="shared" si="5"/>
        <v>115</v>
      </c>
      <c r="D118" s="185" t="s">
        <v>496</v>
      </c>
      <c r="E118" s="185" t="s">
        <v>2792</v>
      </c>
      <c r="F118" s="185" t="s">
        <v>1023</v>
      </c>
      <c r="G118" s="185" t="s">
        <v>1673</v>
      </c>
      <c r="H118" s="185" t="s">
        <v>1970</v>
      </c>
      <c r="I118" s="185" t="s">
        <v>2510</v>
      </c>
    </row>
    <row r="119" spans="1:9" ht="57">
      <c r="A119" s="6">
        <f t="shared" si="3"/>
        <v>116</v>
      </c>
      <c r="B119" s="185" t="str">
        <f t="shared" si="4"/>
        <v>Visibility from elevator inside to hall/parking area
(no visibility from elevator = 0, glazed doors/walls = 3, no elevator = 0)</v>
      </c>
      <c r="C119" s="6">
        <f t="shared" si="5"/>
        <v>116</v>
      </c>
      <c r="D119" s="185" t="s">
        <v>497</v>
      </c>
      <c r="E119" s="185" t="s">
        <v>702</v>
      </c>
      <c r="F119" s="185" t="s">
        <v>1024</v>
      </c>
      <c r="G119" s="185" t="s">
        <v>1674</v>
      </c>
      <c r="H119" s="185" t="s">
        <v>1971</v>
      </c>
      <c r="I119" s="185" t="s">
        <v>2511</v>
      </c>
    </row>
    <row r="120" spans="1:9">
      <c r="A120" s="6">
        <f t="shared" ref="A120:A183" si="6">C120</f>
        <v>117</v>
      </c>
      <c r="B120" s="185" t="str">
        <f t="shared" si="4"/>
        <v>Level indication:</v>
      </c>
      <c r="C120" s="6">
        <f t="shared" si="5"/>
        <v>117</v>
      </c>
      <c r="D120" s="185" t="s">
        <v>209</v>
      </c>
      <c r="E120" s="185" t="s">
        <v>617</v>
      </c>
      <c r="F120" s="185" t="s">
        <v>1025</v>
      </c>
      <c r="G120" s="185" t="s">
        <v>1528</v>
      </c>
      <c r="H120" s="185" t="s">
        <v>1972</v>
      </c>
      <c r="I120" s="185" t="s">
        <v>2512</v>
      </c>
    </row>
    <row r="121" spans="1:9">
      <c r="A121" s="6">
        <f t="shared" si="6"/>
        <v>118</v>
      </c>
      <c r="B121" s="185" t="str">
        <f t="shared" si="4"/>
        <v>in elevator:</v>
      </c>
      <c r="C121" s="6">
        <f t="shared" si="5"/>
        <v>118</v>
      </c>
      <c r="D121" s="185" t="s">
        <v>210</v>
      </c>
      <c r="E121" s="185" t="s">
        <v>618</v>
      </c>
      <c r="F121" s="185" t="s">
        <v>1026</v>
      </c>
      <c r="G121" s="185" t="s">
        <v>1529</v>
      </c>
      <c r="H121" s="185" t="s">
        <v>1973</v>
      </c>
      <c r="I121" s="185" t="s">
        <v>2383</v>
      </c>
    </row>
    <row r="122" spans="1:9">
      <c r="A122" s="6">
        <f t="shared" si="6"/>
        <v>119</v>
      </c>
      <c r="B122" s="185" t="str">
        <f t="shared" si="4"/>
        <v>in elevator foyer:</v>
      </c>
      <c r="C122" s="6">
        <f t="shared" si="5"/>
        <v>119</v>
      </c>
      <c r="D122" s="185" t="s">
        <v>505</v>
      </c>
      <c r="E122" s="185" t="s">
        <v>619</v>
      </c>
      <c r="F122" s="185" t="s">
        <v>1027</v>
      </c>
      <c r="G122" s="185" t="s">
        <v>1530</v>
      </c>
      <c r="H122" s="185" t="s">
        <v>1974</v>
      </c>
      <c r="I122" s="185" t="s">
        <v>2384</v>
      </c>
    </row>
    <row r="123" spans="1:9" ht="28.5">
      <c r="A123" s="6">
        <f t="shared" si="6"/>
        <v>120</v>
      </c>
      <c r="B123" s="185" t="str">
        <f t="shared" si="4"/>
        <v>Elevator control buttons at wheelchair height
•  Yes = 1, Other = 0</v>
      </c>
      <c r="C123" s="6">
        <f t="shared" si="5"/>
        <v>120</v>
      </c>
      <c r="D123" s="185" t="s">
        <v>498</v>
      </c>
      <c r="E123" s="185" t="s">
        <v>703</v>
      </c>
      <c r="F123" s="185" t="s">
        <v>1028</v>
      </c>
      <c r="G123" s="185" t="s">
        <v>1675</v>
      </c>
      <c r="H123" s="185" t="s">
        <v>1975</v>
      </c>
      <c r="I123" s="256" t="s">
        <v>2385</v>
      </c>
    </row>
    <row r="124" spans="1:9">
      <c r="A124" s="6">
        <f t="shared" si="6"/>
        <v>121</v>
      </c>
      <c r="B124" s="185" t="str">
        <f t="shared" si="4"/>
        <v>Doors directly to parking area</v>
      </c>
      <c r="C124" s="6">
        <f t="shared" si="5"/>
        <v>121</v>
      </c>
      <c r="D124" s="185" t="s">
        <v>499</v>
      </c>
      <c r="E124" s="185" t="s">
        <v>620</v>
      </c>
      <c r="F124" s="185" t="s">
        <v>1029</v>
      </c>
      <c r="G124" s="185" t="s">
        <v>1531</v>
      </c>
      <c r="H124" s="185" t="s">
        <v>1976</v>
      </c>
      <c r="I124" s="185" t="s">
        <v>2513</v>
      </c>
    </row>
    <row r="125" spans="1:9">
      <c r="A125" s="6">
        <f t="shared" si="6"/>
        <v>122</v>
      </c>
      <c r="B125" s="185" t="str">
        <f t="shared" si="4"/>
        <v>Width (&lt;90 cm =0, &gt;=90 cm = 2)</v>
      </c>
      <c r="C125" s="6">
        <f t="shared" si="5"/>
        <v>122</v>
      </c>
      <c r="D125" s="185" t="s">
        <v>504</v>
      </c>
      <c r="E125" s="185" t="s">
        <v>666</v>
      </c>
      <c r="F125" s="185" t="s">
        <v>1030</v>
      </c>
      <c r="G125" s="185" t="s">
        <v>1532</v>
      </c>
      <c r="H125" s="185" t="s">
        <v>1977</v>
      </c>
      <c r="I125" s="185" t="s">
        <v>2386</v>
      </c>
    </row>
    <row r="126" spans="1:9" ht="28.5">
      <c r="A126" s="6">
        <f t="shared" si="6"/>
        <v>123</v>
      </c>
      <c r="B126" s="185" t="str">
        <f t="shared" si="4"/>
        <v>Emergency door, standard open (Yes=2, No= 0)</v>
      </c>
      <c r="C126" s="6">
        <f t="shared" si="5"/>
        <v>123</v>
      </c>
      <c r="D126" s="185" t="s">
        <v>248</v>
      </c>
      <c r="E126" s="185" t="s">
        <v>621</v>
      </c>
      <c r="F126" s="185" t="s">
        <v>1031</v>
      </c>
      <c r="G126" s="185" t="s">
        <v>1533</v>
      </c>
      <c r="H126" s="185" t="s">
        <v>1978</v>
      </c>
      <c r="I126" s="185" t="s">
        <v>2514</v>
      </c>
    </row>
    <row r="127" spans="1:9" ht="28.5">
      <c r="A127" s="6">
        <f t="shared" si="6"/>
        <v>124</v>
      </c>
      <c r="B127" s="185" t="str">
        <f t="shared" si="4"/>
        <v>Visibility (Glazed door/wall = 3, No Glass = 0)</v>
      </c>
      <c r="C127" s="6">
        <f t="shared" si="5"/>
        <v>124</v>
      </c>
      <c r="D127" s="185" t="s">
        <v>249</v>
      </c>
      <c r="E127" s="185" t="s">
        <v>704</v>
      </c>
      <c r="F127" s="185" t="s">
        <v>1032</v>
      </c>
      <c r="G127" s="185" t="s">
        <v>1534</v>
      </c>
      <c r="H127" s="185" t="s">
        <v>1979</v>
      </c>
      <c r="I127" s="185" t="s">
        <v>2515</v>
      </c>
    </row>
    <row r="128" spans="1:9" ht="28.5">
      <c r="A128" s="6">
        <f t="shared" si="6"/>
        <v>125</v>
      </c>
      <c r="B128" s="185" t="str">
        <f t="shared" si="4"/>
        <v>Are elevators the main vertical connection? (stairs only secondary or escape)</v>
      </c>
      <c r="C128" s="6">
        <f t="shared" si="5"/>
        <v>125</v>
      </c>
      <c r="D128" s="185" t="s">
        <v>502</v>
      </c>
      <c r="E128" s="185" t="s">
        <v>622</v>
      </c>
      <c r="F128" s="185" t="s">
        <v>1033</v>
      </c>
      <c r="G128" s="185" t="s">
        <v>1535</v>
      </c>
      <c r="H128" s="185" t="s">
        <v>1980</v>
      </c>
      <c r="I128" s="185" t="s">
        <v>2387</v>
      </c>
    </row>
    <row r="129" spans="1:9">
      <c r="A129" s="6">
        <f t="shared" si="6"/>
        <v>126</v>
      </c>
      <c r="B129" s="187" t="str">
        <f t="shared" si="4"/>
        <v>Stairwells (visibility and orientation)</v>
      </c>
      <c r="C129" s="6">
        <f t="shared" si="5"/>
        <v>126</v>
      </c>
      <c r="D129" s="187" t="s">
        <v>500</v>
      </c>
      <c r="E129" s="187" t="s">
        <v>623</v>
      </c>
      <c r="F129" s="187" t="s">
        <v>1034</v>
      </c>
      <c r="G129" s="187" t="s">
        <v>1536</v>
      </c>
      <c r="H129" s="187" t="s">
        <v>1981</v>
      </c>
      <c r="I129" s="294" t="s">
        <v>2516</v>
      </c>
    </row>
    <row r="130" spans="1:9" ht="25.5">
      <c r="A130" s="6">
        <f t="shared" si="6"/>
        <v>127</v>
      </c>
      <c r="B130" s="188" t="str">
        <f t="shared" si="4"/>
        <v>Clear View (Yes = 1, No = 0, Irrelevant = 1)</v>
      </c>
      <c r="C130" s="6">
        <f t="shared" si="5"/>
        <v>127</v>
      </c>
      <c r="D130" s="188" t="s">
        <v>212</v>
      </c>
      <c r="E130" s="188" t="s">
        <v>705</v>
      </c>
      <c r="F130" s="188" t="s">
        <v>1035</v>
      </c>
      <c r="G130" s="188" t="s">
        <v>1537</v>
      </c>
      <c r="H130" s="188" t="s">
        <v>1982</v>
      </c>
      <c r="I130" s="298" t="s">
        <v>2388</v>
      </c>
    </row>
    <row r="131" spans="1:9" ht="27">
      <c r="A131" s="6">
        <f t="shared" si="6"/>
        <v>128</v>
      </c>
      <c r="B131" s="189" t="str">
        <f t="shared" si="4"/>
        <v>Level Indication (Yes = 1, No = 0, Irrelevant = 1)</v>
      </c>
      <c r="C131" s="6">
        <f t="shared" si="5"/>
        <v>128</v>
      </c>
      <c r="D131" s="189" t="s">
        <v>501</v>
      </c>
      <c r="E131" s="189" t="s">
        <v>706</v>
      </c>
      <c r="F131" s="189" t="s">
        <v>1036</v>
      </c>
      <c r="G131" s="189" t="s">
        <v>1538</v>
      </c>
      <c r="H131" s="189" t="s">
        <v>1983</v>
      </c>
      <c r="I131" s="299" t="s">
        <v>2517</v>
      </c>
    </row>
    <row r="132" spans="1:9">
      <c r="A132" s="6">
        <f t="shared" si="6"/>
        <v>129</v>
      </c>
      <c r="B132" s="187" t="str">
        <f t="shared" ref="B132:B195" si="7">IF(ISBLANK(VLOOKUP(A132,$C$4:$V$9989,1+$A$1)),D132,VLOOKUP(A132,$C$4:$V$9989,1+$A$1))</f>
        <v>Stairs (incl. heightened visibility of steps)</v>
      </c>
      <c r="C132" s="6">
        <f t="shared" si="5"/>
        <v>129</v>
      </c>
      <c r="D132" s="187" t="s">
        <v>1336</v>
      </c>
      <c r="E132" s="187" t="s">
        <v>624</v>
      </c>
      <c r="F132" s="187" t="s">
        <v>1037</v>
      </c>
      <c r="G132" s="187" t="s">
        <v>1539</v>
      </c>
      <c r="H132" s="187" t="s">
        <v>1984</v>
      </c>
      <c r="I132" s="294" t="s">
        <v>2389</v>
      </c>
    </row>
    <row r="133" spans="1:9">
      <c r="A133" s="6">
        <f t="shared" si="6"/>
        <v>130</v>
      </c>
      <c r="B133" s="190" t="str">
        <f t="shared" si="7"/>
        <v>Width (&lt; 1.5 m = 0, &gt; 1.5m = 2)</v>
      </c>
      <c r="C133" s="6">
        <f t="shared" si="5"/>
        <v>130</v>
      </c>
      <c r="D133" s="190" t="s">
        <v>253</v>
      </c>
      <c r="E133" s="190" t="s">
        <v>625</v>
      </c>
      <c r="F133" s="190" t="s">
        <v>1038</v>
      </c>
      <c r="G133" s="190" t="s">
        <v>1540</v>
      </c>
      <c r="H133" s="190" t="s">
        <v>1985</v>
      </c>
      <c r="I133" s="300" t="s">
        <v>2390</v>
      </c>
    </row>
    <row r="134" spans="1:9" ht="25.5">
      <c r="A134" s="6">
        <f t="shared" si="6"/>
        <v>131</v>
      </c>
      <c r="B134" s="190" t="str">
        <f t="shared" si="7"/>
        <v>Hand Rails (No hand rail =0, One Side = 1, Two sides=2)</v>
      </c>
      <c r="C134" s="6">
        <f t="shared" si="5"/>
        <v>131</v>
      </c>
      <c r="D134" s="190" t="s">
        <v>254</v>
      </c>
      <c r="E134" s="190" t="s">
        <v>707</v>
      </c>
      <c r="F134" s="190" t="s">
        <v>1039</v>
      </c>
      <c r="G134" s="190" t="s">
        <v>1541</v>
      </c>
      <c r="H134" s="190" t="s">
        <v>1986</v>
      </c>
      <c r="I134" s="300" t="s">
        <v>2391</v>
      </c>
    </row>
    <row r="135" spans="1:9" ht="25.5">
      <c r="A135" s="6">
        <f t="shared" si="6"/>
        <v>132</v>
      </c>
      <c r="B135" s="190" t="str">
        <f t="shared" si="7"/>
        <v>Heightened visibility of steps for people with poor eyesight (Yes = 2, No = 0)</v>
      </c>
      <c r="C135" s="6">
        <f t="shared" si="5"/>
        <v>132</v>
      </c>
      <c r="D135" s="190" t="s">
        <v>255</v>
      </c>
      <c r="E135" s="190" t="s">
        <v>708</v>
      </c>
      <c r="F135" s="190" t="s">
        <v>1040</v>
      </c>
      <c r="G135" s="190" t="s">
        <v>1542</v>
      </c>
      <c r="H135" s="190" t="s">
        <v>1987</v>
      </c>
      <c r="I135" s="300" t="s">
        <v>2392</v>
      </c>
    </row>
    <row r="136" spans="1:9" ht="25.5">
      <c r="A136" s="6">
        <f t="shared" si="6"/>
        <v>133</v>
      </c>
      <c r="B136" s="190" t="str">
        <f t="shared" si="7"/>
        <v>Anti-slip surfacing on stairs: (Yes = 2, No = 0)</v>
      </c>
      <c r="C136" s="6">
        <f t="shared" si="5"/>
        <v>133</v>
      </c>
      <c r="D136" s="190" t="s">
        <v>256</v>
      </c>
      <c r="E136" s="190" t="s">
        <v>709</v>
      </c>
      <c r="F136" s="190" t="s">
        <v>1041</v>
      </c>
      <c r="G136" s="190" t="s">
        <v>1543</v>
      </c>
      <c r="H136" s="190" t="s">
        <v>1988</v>
      </c>
      <c r="I136" s="300" t="s">
        <v>2393</v>
      </c>
    </row>
    <row r="137" spans="1:9" ht="38.25">
      <c r="A137" s="6">
        <f t="shared" si="6"/>
        <v>134</v>
      </c>
      <c r="B137" s="187" t="str">
        <f t="shared" si="7"/>
        <v>External openings in stairwell
(window/grilled to outside or car park  =2, none =0)</v>
      </c>
      <c r="C137" s="6">
        <f t="shared" ref="C137:C200" si="8">C136+1</f>
        <v>134</v>
      </c>
      <c r="D137" s="187" t="s">
        <v>437</v>
      </c>
      <c r="E137" s="187" t="s">
        <v>710</v>
      </c>
      <c r="F137" s="187" t="s">
        <v>1044</v>
      </c>
      <c r="G137" s="187" t="s">
        <v>1676</v>
      </c>
      <c r="H137" s="187" t="s">
        <v>1989</v>
      </c>
      <c r="I137" s="294" t="s">
        <v>2518</v>
      </c>
    </row>
    <row r="138" spans="1:9">
      <c r="A138" s="6">
        <f t="shared" si="6"/>
        <v>135</v>
      </c>
      <c r="B138" s="185" t="str">
        <f t="shared" si="7"/>
        <v>Security Equipment</v>
      </c>
      <c r="C138" s="6">
        <f t="shared" si="8"/>
        <v>135</v>
      </c>
      <c r="D138" s="185" t="s">
        <v>182</v>
      </c>
      <c r="E138" s="185" t="s">
        <v>626</v>
      </c>
      <c r="F138" s="185" t="s">
        <v>1042</v>
      </c>
      <c r="G138" s="185" t="s">
        <v>1544</v>
      </c>
      <c r="H138" s="185" t="s">
        <v>1990</v>
      </c>
      <c r="I138" s="185" t="s">
        <v>2394</v>
      </c>
    </row>
    <row r="139" spans="1:9">
      <c r="A139" s="6">
        <f t="shared" si="6"/>
        <v>136</v>
      </c>
      <c r="B139" s="185" t="str">
        <f t="shared" si="7"/>
        <v>Item List</v>
      </c>
      <c r="C139" s="6">
        <f t="shared" si="8"/>
        <v>136</v>
      </c>
      <c r="D139" s="185" t="s">
        <v>276</v>
      </c>
      <c r="E139" s="185" t="s">
        <v>614</v>
      </c>
      <c r="F139" s="185" t="s">
        <v>1011</v>
      </c>
      <c r="G139" s="185" t="s">
        <v>1520</v>
      </c>
      <c r="H139" s="185" t="s">
        <v>1958</v>
      </c>
      <c r="I139" s="185" t="s">
        <v>2395</v>
      </c>
    </row>
    <row r="140" spans="1:9" ht="28.5">
      <c r="A140" s="6">
        <f t="shared" si="6"/>
        <v>137</v>
      </c>
      <c r="B140" s="185" t="str">
        <f t="shared" si="7"/>
        <v>CCTV with notice at entrance = 3, No CCTV =0</v>
      </c>
      <c r="C140" s="6">
        <f t="shared" si="8"/>
        <v>137</v>
      </c>
      <c r="D140" s="185" t="s">
        <v>93</v>
      </c>
      <c r="E140" s="185" t="s">
        <v>711</v>
      </c>
      <c r="F140" s="185" t="s">
        <v>1043</v>
      </c>
      <c r="G140" s="185" t="s">
        <v>1545</v>
      </c>
      <c r="H140" s="185" t="s">
        <v>1991</v>
      </c>
      <c r="I140" s="185" t="s">
        <v>2396</v>
      </c>
    </row>
    <row r="141" spans="1:9" ht="28.5">
      <c r="A141" s="6">
        <f t="shared" si="6"/>
        <v>138</v>
      </c>
      <c r="B141" s="185" t="str">
        <f t="shared" si="7"/>
        <v>Staff surveillance (on-site or remote)
•  Yes = 5, No = 0</v>
      </c>
      <c r="C141" s="6">
        <f t="shared" si="8"/>
        <v>138</v>
      </c>
      <c r="D141" s="185" t="s">
        <v>309</v>
      </c>
      <c r="E141" s="185" t="s">
        <v>712</v>
      </c>
      <c r="F141" s="185" t="s">
        <v>1045</v>
      </c>
      <c r="G141" s="185" t="s">
        <v>1677</v>
      </c>
      <c r="H141" s="185" t="s">
        <v>1992</v>
      </c>
      <c r="I141" s="185" t="s">
        <v>2519</v>
      </c>
    </row>
    <row r="142" spans="1:9">
      <c r="A142" s="6">
        <f t="shared" si="6"/>
        <v>139</v>
      </c>
      <c r="B142" s="185" t="str">
        <f t="shared" si="7"/>
        <v>CCTV at:</v>
      </c>
      <c r="C142" s="6">
        <f t="shared" si="8"/>
        <v>139</v>
      </c>
      <c r="D142" s="185" t="s">
        <v>290</v>
      </c>
      <c r="E142" s="185" t="s">
        <v>627</v>
      </c>
      <c r="F142" s="185" t="s">
        <v>969</v>
      </c>
      <c r="G142" s="185" t="s">
        <v>1546</v>
      </c>
      <c r="H142" s="185" t="s">
        <v>1993</v>
      </c>
      <c r="I142" s="185" t="s">
        <v>2397</v>
      </c>
    </row>
    <row r="143" spans="1:9">
      <c r="A143" s="6">
        <f t="shared" si="6"/>
        <v>140</v>
      </c>
      <c r="B143" s="185" t="str">
        <f t="shared" si="7"/>
        <v>Car Entry: Yes =1, No =0</v>
      </c>
      <c r="C143" s="6">
        <f t="shared" si="8"/>
        <v>140</v>
      </c>
      <c r="D143" s="185" t="s">
        <v>282</v>
      </c>
      <c r="E143" s="185" t="s">
        <v>628</v>
      </c>
      <c r="F143" s="185" t="s">
        <v>1046</v>
      </c>
      <c r="G143" s="185" t="s">
        <v>1547</v>
      </c>
      <c r="H143" s="185" t="s">
        <v>1994</v>
      </c>
      <c r="I143" s="185" t="s">
        <v>2520</v>
      </c>
    </row>
    <row r="144" spans="1:9">
      <c r="A144" s="6">
        <f t="shared" si="6"/>
        <v>141</v>
      </c>
      <c r="B144" s="185" t="str">
        <f t="shared" si="7"/>
        <v xml:space="preserve"> Car Exit: Yes =1, No =0</v>
      </c>
      <c r="C144" s="6">
        <f t="shared" si="8"/>
        <v>141</v>
      </c>
      <c r="D144" s="185" t="s">
        <v>283</v>
      </c>
      <c r="E144" s="185" t="s">
        <v>629</v>
      </c>
      <c r="F144" s="185" t="s">
        <v>1047</v>
      </c>
      <c r="G144" s="185" t="s">
        <v>1548</v>
      </c>
      <c r="H144" s="185" t="s">
        <v>1995</v>
      </c>
      <c r="I144" s="185" t="s">
        <v>2521</v>
      </c>
    </row>
    <row r="145" spans="1:9">
      <c r="A145" s="6">
        <f t="shared" si="6"/>
        <v>142</v>
      </c>
      <c r="B145" s="185" t="str">
        <f t="shared" si="7"/>
        <v>Pay Machine: Yes =1, No =0</v>
      </c>
      <c r="C145" s="6">
        <f t="shared" si="8"/>
        <v>142</v>
      </c>
      <c r="D145" s="185" t="s">
        <v>284</v>
      </c>
      <c r="E145" s="185" t="s">
        <v>630</v>
      </c>
      <c r="F145" s="185" t="s">
        <v>1048</v>
      </c>
      <c r="G145" s="185" t="s">
        <v>1549</v>
      </c>
      <c r="H145" s="185" t="s">
        <v>1996</v>
      </c>
      <c r="I145" s="185" t="s">
        <v>2398</v>
      </c>
    </row>
    <row r="146" spans="1:9">
      <c r="A146" s="6">
        <f t="shared" si="6"/>
        <v>143</v>
      </c>
      <c r="B146" s="185" t="str">
        <f t="shared" si="7"/>
        <v>Elevator Hall, every level: Yes =1, No =0</v>
      </c>
      <c r="C146" s="6">
        <f t="shared" si="8"/>
        <v>143</v>
      </c>
      <c r="D146" s="185" t="s">
        <v>285</v>
      </c>
      <c r="E146" s="185" t="s">
        <v>631</v>
      </c>
      <c r="F146" s="185" t="s">
        <v>1049</v>
      </c>
      <c r="G146" s="185" t="s">
        <v>1550</v>
      </c>
      <c r="H146" s="185" t="s">
        <v>1997</v>
      </c>
      <c r="I146" s="185" t="s">
        <v>2399</v>
      </c>
    </row>
    <row r="147" spans="1:9">
      <c r="A147" s="6">
        <f t="shared" si="6"/>
        <v>144</v>
      </c>
      <c r="B147" s="185" t="str">
        <f t="shared" si="7"/>
        <v>Stairwells, every level: Yes =1, No =0</v>
      </c>
      <c r="C147" s="6">
        <f t="shared" si="8"/>
        <v>144</v>
      </c>
      <c r="D147" s="185" t="s">
        <v>286</v>
      </c>
      <c r="E147" s="185" t="s">
        <v>632</v>
      </c>
      <c r="F147" s="185" t="s">
        <v>1050</v>
      </c>
      <c r="G147" s="185" t="s">
        <v>1551</v>
      </c>
      <c r="H147" s="185" t="s">
        <v>1998</v>
      </c>
      <c r="I147" s="185" t="s">
        <v>2400</v>
      </c>
    </row>
    <row r="148" spans="1:9">
      <c r="A148" s="6">
        <f t="shared" si="6"/>
        <v>145</v>
      </c>
      <c r="B148" s="185" t="str">
        <f t="shared" si="7"/>
        <v>Pedestrian Entrances: Yes =1, No =0</v>
      </c>
      <c r="C148" s="6">
        <f t="shared" si="8"/>
        <v>145</v>
      </c>
      <c r="D148" s="185" t="s">
        <v>287</v>
      </c>
      <c r="E148" s="185" t="s">
        <v>633</v>
      </c>
      <c r="F148" s="185" t="s">
        <v>1051</v>
      </c>
      <c r="G148" s="185" t="s">
        <v>1552</v>
      </c>
      <c r="H148" s="185" t="s">
        <v>1999</v>
      </c>
      <c r="I148" s="185" t="s">
        <v>2401</v>
      </c>
    </row>
    <row r="149" spans="1:9">
      <c r="A149" s="6">
        <f t="shared" si="6"/>
        <v>146</v>
      </c>
      <c r="B149" s="185" t="str">
        <f t="shared" si="7"/>
        <v>Most of Parking Area (65%):Yes =3, No =0</v>
      </c>
      <c r="C149" s="6">
        <f t="shared" si="8"/>
        <v>146</v>
      </c>
      <c r="D149" s="185" t="s">
        <v>288</v>
      </c>
      <c r="E149" s="185" t="s">
        <v>634</v>
      </c>
      <c r="F149" s="185" t="s">
        <v>1052</v>
      </c>
      <c r="G149" s="185" t="s">
        <v>1553</v>
      </c>
      <c r="H149" s="185" t="s">
        <v>2000</v>
      </c>
      <c r="I149" s="185" t="s">
        <v>2402</v>
      </c>
    </row>
    <row r="150" spans="1:9">
      <c r="A150" s="6">
        <f t="shared" si="6"/>
        <v>147</v>
      </c>
      <c r="B150" s="185" t="str">
        <f t="shared" si="7"/>
        <v xml:space="preserve"> Ramps: Yes = 1, No = 0</v>
      </c>
      <c r="C150" s="6">
        <f t="shared" si="8"/>
        <v>147</v>
      </c>
      <c r="D150" s="185" t="s">
        <v>289</v>
      </c>
      <c r="E150" s="185" t="s">
        <v>635</v>
      </c>
      <c r="F150" s="185" t="s">
        <v>1053</v>
      </c>
      <c r="G150" s="185" t="s">
        <v>1554</v>
      </c>
      <c r="H150" s="185" t="s">
        <v>2001</v>
      </c>
      <c r="I150" s="185" t="s">
        <v>2523</v>
      </c>
    </row>
    <row r="151" spans="1:9">
      <c r="A151" s="6">
        <f t="shared" si="6"/>
        <v>148</v>
      </c>
      <c r="B151" s="185" t="str">
        <f t="shared" si="7"/>
        <v>Staff contactable via:</v>
      </c>
      <c r="C151" s="6">
        <f t="shared" si="8"/>
        <v>148</v>
      </c>
      <c r="D151" s="185" t="s">
        <v>292</v>
      </c>
      <c r="E151" s="185" t="s">
        <v>636</v>
      </c>
      <c r="F151" s="185" t="s">
        <v>1054</v>
      </c>
      <c r="G151" s="185" t="s">
        <v>1555</v>
      </c>
      <c r="H151" s="185" t="s">
        <v>2002</v>
      </c>
      <c r="I151" s="185" t="s">
        <v>2403</v>
      </c>
    </row>
    <row r="152" spans="1:9" ht="57">
      <c r="A152" s="6">
        <f t="shared" si="6"/>
        <v>149</v>
      </c>
      <c r="B152" s="185" t="str">
        <f t="shared" si="7"/>
        <v>Intercom at pay machine and/or controlled entries (24/7=3, All access hours if not 24/7= 2, Part time/not available = 0)</v>
      </c>
      <c r="C152" s="6">
        <f t="shared" si="8"/>
        <v>149</v>
      </c>
      <c r="D152" s="185" t="s">
        <v>291</v>
      </c>
      <c r="E152" s="185" t="s">
        <v>713</v>
      </c>
      <c r="F152" s="185" t="s">
        <v>1055</v>
      </c>
      <c r="G152" s="185" t="s">
        <v>1556</v>
      </c>
      <c r="H152" s="185" t="s">
        <v>2003</v>
      </c>
      <c r="I152" s="185" t="s">
        <v>2404</v>
      </c>
    </row>
    <row r="153" spans="1:9" ht="57">
      <c r="A153" s="6">
        <f t="shared" si="6"/>
        <v>150</v>
      </c>
      <c r="B153" s="185" t="str">
        <f t="shared" si="7"/>
        <v>Emergency call system in parking area (24/7=3, All access hours if not 24/7= 2, Part time/not available = 0)</v>
      </c>
      <c r="C153" s="6">
        <f t="shared" si="8"/>
        <v>150</v>
      </c>
      <c r="D153" s="185" t="s">
        <v>293</v>
      </c>
      <c r="E153" s="185" t="s">
        <v>714</v>
      </c>
      <c r="F153" s="185" t="s">
        <v>1056</v>
      </c>
      <c r="G153" s="185" t="s">
        <v>1557</v>
      </c>
      <c r="H153" s="185" t="s">
        <v>2004</v>
      </c>
      <c r="I153" s="185" t="s">
        <v>2524</v>
      </c>
    </row>
    <row r="154" spans="1:9" ht="71.25">
      <c r="A154" s="6">
        <f t="shared" si="6"/>
        <v>151</v>
      </c>
      <c r="B154" s="185" t="str">
        <f t="shared" si="7"/>
        <v>Recognizable staff present and patrolling car park
(24/7 = 3, During access Hours = 2, Less than access Hours = 1, No = 0)</v>
      </c>
      <c r="C154" s="6">
        <f t="shared" si="8"/>
        <v>151</v>
      </c>
      <c r="D154" s="185" t="s">
        <v>299</v>
      </c>
      <c r="E154" s="185" t="s">
        <v>715</v>
      </c>
      <c r="F154" s="185" t="s">
        <v>1057</v>
      </c>
      <c r="G154" s="185" t="s">
        <v>1678</v>
      </c>
      <c r="H154" s="185" t="s">
        <v>2005</v>
      </c>
      <c r="I154" s="185" t="s">
        <v>2405</v>
      </c>
    </row>
    <row r="155" spans="1:9" ht="71.25">
      <c r="A155" s="6">
        <f t="shared" si="6"/>
        <v>152</v>
      </c>
      <c r="B155" s="185" t="str">
        <f t="shared" si="7"/>
        <v>Lockable vehicle exit/entry: 
(Closed gate/rolling shutter  after access hours = 2, Secured: fast opening gate during day = 4, Secured: slow opening gate during day = 2, No provisions = 0)</v>
      </c>
      <c r="C155" s="6">
        <f t="shared" si="8"/>
        <v>152</v>
      </c>
      <c r="D155" s="185" t="s">
        <v>304</v>
      </c>
      <c r="E155" s="185" t="s">
        <v>716</v>
      </c>
      <c r="F155" s="185" t="s">
        <v>1058</v>
      </c>
      <c r="G155" s="185" t="s">
        <v>1679</v>
      </c>
      <c r="H155" s="185" t="s">
        <v>2006</v>
      </c>
      <c r="I155" s="185" t="s">
        <v>2406</v>
      </c>
    </row>
    <row r="156" spans="1:9" ht="71.25">
      <c r="A156" s="6">
        <f t="shared" si="6"/>
        <v>153</v>
      </c>
      <c r="B156" s="185" t="str">
        <f t="shared" si="7"/>
        <v>Lockable pedestrian exit/entry (after opening hours).
(Door/gate/rolling shutter &lt;= 15cm maximum aperture = 2, over 15 cm = 0, no provisions = 0, Irrelevant (24 hours opening) = 2)</v>
      </c>
      <c r="C156" s="6">
        <f t="shared" si="8"/>
        <v>153</v>
      </c>
      <c r="D156" s="185" t="s">
        <v>514</v>
      </c>
      <c r="E156" s="185" t="s">
        <v>717</v>
      </c>
      <c r="F156" s="185" t="s">
        <v>1059</v>
      </c>
      <c r="G156" s="185" t="s">
        <v>1680</v>
      </c>
      <c r="H156" s="185" t="s">
        <v>2007</v>
      </c>
      <c r="I156" s="185" t="s">
        <v>2407</v>
      </c>
    </row>
    <row r="157" spans="1:9" ht="42.75">
      <c r="A157" s="6">
        <f t="shared" si="6"/>
        <v>154</v>
      </c>
      <c r="B157" s="185" t="str">
        <f t="shared" si="7"/>
        <v>Grilles on external openings &amp; security grilles
(&lt;= 15 cm = 2, &gt; 15 cm or no protection= 0, Irrelevant (no external openings) = 2)</v>
      </c>
      <c r="C157" s="6">
        <f t="shared" si="8"/>
        <v>154</v>
      </c>
      <c r="D157" s="185" t="s">
        <v>310</v>
      </c>
      <c r="E157" s="185" t="s">
        <v>718</v>
      </c>
      <c r="F157" s="185" t="s">
        <v>1060</v>
      </c>
      <c r="G157" s="185" t="s">
        <v>1681</v>
      </c>
      <c r="H157" s="185" t="s">
        <v>2008</v>
      </c>
      <c r="I157" s="185" t="s">
        <v>2408</v>
      </c>
    </row>
    <row r="158" spans="1:9">
      <c r="A158" s="6">
        <f t="shared" si="6"/>
        <v>155</v>
      </c>
      <c r="B158" s="185" t="str">
        <f t="shared" si="7"/>
        <v>Wayfinding Inside and Outside</v>
      </c>
      <c r="C158" s="6">
        <f t="shared" si="8"/>
        <v>155</v>
      </c>
      <c r="D158" s="185" t="s">
        <v>438</v>
      </c>
      <c r="E158" s="185" t="s">
        <v>637</v>
      </c>
      <c r="F158" s="185" t="s">
        <v>1061</v>
      </c>
      <c r="G158" s="185" t="s">
        <v>1558</v>
      </c>
      <c r="H158" s="185" t="s">
        <v>2009</v>
      </c>
      <c r="I158" s="185" t="s">
        <v>2528</v>
      </c>
    </row>
    <row r="159" spans="1:9">
      <c r="A159" s="6">
        <f t="shared" si="6"/>
        <v>156</v>
      </c>
      <c r="B159" s="185" t="str">
        <f t="shared" si="7"/>
        <v>Item List</v>
      </c>
      <c r="C159" s="6">
        <f t="shared" si="8"/>
        <v>156</v>
      </c>
      <c r="D159" s="185" t="s">
        <v>276</v>
      </c>
      <c r="E159" s="185" t="s">
        <v>614</v>
      </c>
      <c r="F159" s="185" t="s">
        <v>1011</v>
      </c>
      <c r="G159" s="185" t="s">
        <v>1520</v>
      </c>
      <c r="H159" s="185" t="s">
        <v>1958</v>
      </c>
      <c r="I159" s="185" t="s">
        <v>2395</v>
      </c>
    </row>
    <row r="160" spans="1:9">
      <c r="A160" s="6">
        <f t="shared" si="6"/>
        <v>157</v>
      </c>
      <c r="B160" s="187" t="str">
        <f t="shared" si="7"/>
        <v>Identification of vacant parking spaces</v>
      </c>
      <c r="C160" s="6">
        <f t="shared" si="8"/>
        <v>157</v>
      </c>
      <c r="D160" s="187" t="s">
        <v>1337</v>
      </c>
      <c r="E160" s="187" t="s">
        <v>638</v>
      </c>
      <c r="F160" s="187" t="s">
        <v>1062</v>
      </c>
      <c r="G160" s="187" t="s">
        <v>1559</v>
      </c>
      <c r="H160" s="187" t="s">
        <v>2010</v>
      </c>
      <c r="I160" s="294" t="s">
        <v>2409</v>
      </c>
    </row>
    <row r="161" spans="1:9" ht="25.5">
      <c r="A161" s="6">
        <f t="shared" si="6"/>
        <v>158</v>
      </c>
      <c r="B161" s="190" t="str">
        <f t="shared" si="7"/>
        <v>Parking floor level (yes/good = 2, no/bad = 0)</v>
      </c>
      <c r="C161" s="6">
        <f t="shared" si="8"/>
        <v>158</v>
      </c>
      <c r="D161" s="190" t="s">
        <v>314</v>
      </c>
      <c r="E161" s="190" t="s">
        <v>719</v>
      </c>
      <c r="F161" s="190" t="s">
        <v>1063</v>
      </c>
      <c r="G161" s="190" t="s">
        <v>1560</v>
      </c>
      <c r="H161" s="190" t="s">
        <v>2011</v>
      </c>
      <c r="I161" s="301" t="s">
        <v>2410</v>
      </c>
    </row>
    <row r="162" spans="1:9" ht="25.5">
      <c r="A162" s="6">
        <f t="shared" si="6"/>
        <v>159</v>
      </c>
      <c r="B162" s="190" t="str">
        <f t="shared" si="7"/>
        <v>Parking row (yes/good = 1, no/bad = 0)</v>
      </c>
      <c r="C162" s="6">
        <f t="shared" si="8"/>
        <v>159</v>
      </c>
      <c r="D162" s="190" t="s">
        <v>315</v>
      </c>
      <c r="E162" s="190" t="s">
        <v>720</v>
      </c>
      <c r="F162" s="190" t="s">
        <v>1064</v>
      </c>
      <c r="G162" s="190" t="s">
        <v>1561</v>
      </c>
      <c r="H162" s="190" t="s">
        <v>2012</v>
      </c>
      <c r="I162" s="300" t="s">
        <v>2525</v>
      </c>
    </row>
    <row r="163" spans="1:9" ht="25.5">
      <c r="A163" s="6">
        <f t="shared" si="6"/>
        <v>160</v>
      </c>
      <c r="B163" s="190" t="str">
        <f t="shared" si="7"/>
        <v>Individual stall indication (yes/good = 2, no/bad = 0)</v>
      </c>
      <c r="C163" s="6">
        <f t="shared" si="8"/>
        <v>160</v>
      </c>
      <c r="D163" s="190" t="s">
        <v>316</v>
      </c>
      <c r="E163" s="190" t="s">
        <v>721</v>
      </c>
      <c r="F163" s="190" t="s">
        <v>1065</v>
      </c>
      <c r="G163" s="190" t="s">
        <v>1562</v>
      </c>
      <c r="H163" s="190" t="s">
        <v>2013</v>
      </c>
      <c r="I163" s="302" t="s">
        <v>2526</v>
      </c>
    </row>
    <row r="164" spans="1:9">
      <c r="A164" s="6">
        <f t="shared" si="6"/>
        <v>161</v>
      </c>
      <c r="B164" s="187" t="str">
        <f t="shared" si="7"/>
        <v>Way finding (vehicles)</v>
      </c>
      <c r="C164" s="6">
        <f t="shared" si="8"/>
        <v>161</v>
      </c>
      <c r="D164" s="187" t="s">
        <v>321</v>
      </c>
      <c r="E164" s="187" t="s">
        <v>639</v>
      </c>
      <c r="F164" s="187" t="s">
        <v>1066</v>
      </c>
      <c r="G164" s="187" t="s">
        <v>1563</v>
      </c>
      <c r="H164" s="187" t="s">
        <v>2014</v>
      </c>
      <c r="I164" s="294" t="s">
        <v>2527</v>
      </c>
    </row>
    <row r="165" spans="1:9" ht="25.5">
      <c r="A165" s="6">
        <f t="shared" si="6"/>
        <v>162</v>
      </c>
      <c r="B165" s="188" t="str">
        <f t="shared" si="7"/>
        <v>Are floors clearly and separately identified for drivers? (Good =3, Adequate =2, Poor =1, No =0)</v>
      </c>
      <c r="C165" s="6">
        <f t="shared" si="8"/>
        <v>162</v>
      </c>
      <c r="D165" s="188" t="s">
        <v>322</v>
      </c>
      <c r="E165" s="188" t="s">
        <v>722</v>
      </c>
      <c r="F165" s="188" t="s">
        <v>1067</v>
      </c>
      <c r="G165" s="188" t="s">
        <v>1564</v>
      </c>
      <c r="H165" s="188" t="s">
        <v>2015</v>
      </c>
      <c r="I165" s="298" t="s">
        <v>2411</v>
      </c>
    </row>
    <row r="166" spans="1:9" ht="25.5">
      <c r="A166" s="6">
        <f t="shared" si="6"/>
        <v>163</v>
      </c>
      <c r="B166" s="188" t="str">
        <f t="shared" si="7"/>
        <v>Are sub-areas of floors clearly identified for drivers? (Good =3, Adequate =2, Poor =1, No =0)</v>
      </c>
      <c r="C166" s="6">
        <f t="shared" si="8"/>
        <v>163</v>
      </c>
      <c r="D166" s="188" t="s">
        <v>323</v>
      </c>
      <c r="E166" s="188" t="s">
        <v>723</v>
      </c>
      <c r="F166" s="188" t="s">
        <v>1068</v>
      </c>
      <c r="G166" s="188" t="s">
        <v>1565</v>
      </c>
      <c r="H166" s="188" t="s">
        <v>2016</v>
      </c>
      <c r="I166" s="298" t="s">
        <v>2412</v>
      </c>
    </row>
    <row r="167" spans="1:9" ht="76.5">
      <c r="A167" s="6">
        <f t="shared" si="6"/>
        <v>164</v>
      </c>
      <c r="B167" s="187" t="str">
        <f t="shared" si="7"/>
        <v>Are fire escapes and escape routes clearly marked
• Clear from all locations = 3
• most locations= 2
• some locations=1
• No marking of escape routes=0)</v>
      </c>
      <c r="C167" s="6">
        <f t="shared" si="8"/>
        <v>164</v>
      </c>
      <c r="D167" s="187" t="s">
        <v>1808</v>
      </c>
      <c r="E167" s="187" t="s">
        <v>1809</v>
      </c>
      <c r="F167" s="187" t="s">
        <v>1810</v>
      </c>
      <c r="G167" s="187" t="s">
        <v>1811</v>
      </c>
      <c r="H167" s="187" t="s">
        <v>2017</v>
      </c>
      <c r="I167" s="294" t="s">
        <v>2413</v>
      </c>
    </row>
    <row r="168" spans="1:9" ht="51">
      <c r="A168" s="6">
        <f t="shared" si="6"/>
        <v>165</v>
      </c>
      <c r="B168" s="187" t="str">
        <f t="shared" si="7"/>
        <v>Are floor levels clearly marked?
(good =3, adequate=2, poor=1, none =0. Single level car parks = 3)</v>
      </c>
      <c r="C168" s="6">
        <f t="shared" si="8"/>
        <v>165</v>
      </c>
      <c r="D168" s="187" t="s">
        <v>1812</v>
      </c>
      <c r="E168" s="187" t="s">
        <v>1813</v>
      </c>
      <c r="F168" s="187" t="s">
        <v>1814</v>
      </c>
      <c r="G168" s="187" t="s">
        <v>1815</v>
      </c>
      <c r="H168" s="187" t="s">
        <v>2018</v>
      </c>
      <c r="I168" s="294" t="s">
        <v>2414</v>
      </c>
    </row>
    <row r="169" spans="1:9" ht="38.25">
      <c r="A169" s="6">
        <f t="shared" si="6"/>
        <v>166</v>
      </c>
      <c r="B169" s="187" t="str">
        <f t="shared" si="7"/>
        <v>Is there additional signing or prompts to orient the pedestrian on the parking deck
(good =2, some =1, none = 0)</v>
      </c>
      <c r="C169" s="6">
        <f t="shared" si="8"/>
        <v>166</v>
      </c>
      <c r="D169" s="187" t="s">
        <v>331</v>
      </c>
      <c r="E169" s="187" t="s">
        <v>724</v>
      </c>
      <c r="F169" s="187" t="s">
        <v>1069</v>
      </c>
      <c r="G169" s="187" t="s">
        <v>1682</v>
      </c>
      <c r="H169" s="187" t="s">
        <v>2019</v>
      </c>
      <c r="I169" s="294" t="s">
        <v>2415</v>
      </c>
    </row>
    <row r="170" spans="1:9" ht="51">
      <c r="A170" s="6">
        <f t="shared" si="6"/>
        <v>167</v>
      </c>
      <c r="B170" s="187" t="str">
        <f t="shared" si="7"/>
        <v>Are parking spaces individually numbered
(Numbered including floor identification =2, Just numbers =1, none =0)</v>
      </c>
      <c r="C170" s="6">
        <f t="shared" si="8"/>
        <v>167</v>
      </c>
      <c r="D170" s="187" t="s">
        <v>332</v>
      </c>
      <c r="E170" s="187" t="s">
        <v>725</v>
      </c>
      <c r="F170" s="187" t="s">
        <v>1070</v>
      </c>
      <c r="G170" s="187" t="s">
        <v>1683</v>
      </c>
      <c r="H170" s="187" t="s">
        <v>2020</v>
      </c>
      <c r="I170" s="294" t="s">
        <v>2416</v>
      </c>
    </row>
    <row r="171" spans="1:9" ht="25.5">
      <c r="A171" s="6">
        <f t="shared" si="6"/>
        <v>168</v>
      </c>
      <c r="B171" s="187" t="str">
        <f t="shared" si="7"/>
        <v>Use of colours for  way finding
(Yes= 1, No= 0)</v>
      </c>
      <c r="C171" s="6">
        <f t="shared" si="8"/>
        <v>168</v>
      </c>
      <c r="D171" s="187" t="s">
        <v>336</v>
      </c>
      <c r="E171" s="187" t="s">
        <v>726</v>
      </c>
      <c r="F171" s="187" t="s">
        <v>1071</v>
      </c>
      <c r="G171" s="187" t="s">
        <v>1684</v>
      </c>
      <c r="H171" s="187" t="s">
        <v>2021</v>
      </c>
      <c r="I171" s="294" t="s">
        <v>2417</v>
      </c>
    </row>
    <row r="172" spans="1:9" ht="25.5">
      <c r="A172" s="6">
        <f t="shared" si="6"/>
        <v>169</v>
      </c>
      <c r="B172" s="187" t="str">
        <f t="shared" si="7"/>
        <v>Guidance sign posting for cars on roads to car park</v>
      </c>
      <c r="C172" s="6">
        <f t="shared" si="8"/>
        <v>169</v>
      </c>
      <c r="D172" s="187" t="s">
        <v>337</v>
      </c>
      <c r="E172" s="187" t="s">
        <v>640</v>
      </c>
      <c r="F172" s="187" t="s">
        <v>1072</v>
      </c>
      <c r="G172" s="187" t="s">
        <v>1566</v>
      </c>
      <c r="H172" s="187" t="s">
        <v>2022</v>
      </c>
      <c r="I172" s="295" t="s">
        <v>2529</v>
      </c>
    </row>
    <row r="173" spans="1:9" ht="25.5">
      <c r="A173" s="6">
        <f t="shared" si="6"/>
        <v>170</v>
      </c>
      <c r="B173" s="188" t="str">
        <f t="shared" si="7"/>
        <v>Static sign system only (Yes = 1, No = 0)</v>
      </c>
      <c r="C173" s="6">
        <f t="shared" si="8"/>
        <v>170</v>
      </c>
      <c r="D173" s="188" t="s">
        <v>338</v>
      </c>
      <c r="E173" s="188" t="s">
        <v>727</v>
      </c>
      <c r="F173" s="188" t="s">
        <v>1073</v>
      </c>
      <c r="G173" s="188" t="s">
        <v>1567</v>
      </c>
      <c r="H173" s="188" t="s">
        <v>2023</v>
      </c>
      <c r="I173" s="296" t="s">
        <v>2418</v>
      </c>
    </row>
    <row r="174" spans="1:9" ht="25.5">
      <c r="A174" s="6">
        <f t="shared" si="6"/>
        <v>171</v>
      </c>
      <c r="B174" s="188" t="str">
        <f t="shared" si="7"/>
        <v>Dynamic sign system additionally (Yes = 1, No = 0)</v>
      </c>
      <c r="C174" s="6">
        <f t="shared" si="8"/>
        <v>171</v>
      </c>
      <c r="D174" s="188" t="s">
        <v>339</v>
      </c>
      <c r="E174" s="188" t="s">
        <v>728</v>
      </c>
      <c r="F174" s="188" t="s">
        <v>1074</v>
      </c>
      <c r="G174" s="188" t="s">
        <v>1568</v>
      </c>
      <c r="H174" s="188" t="s">
        <v>2024</v>
      </c>
      <c r="I174" s="296" t="s">
        <v>2419</v>
      </c>
    </row>
    <row r="175" spans="1:9">
      <c r="A175" s="6">
        <f t="shared" si="6"/>
        <v>172</v>
      </c>
      <c r="B175" s="187" t="str">
        <f t="shared" si="7"/>
        <v>Illuminated signage at car park entrance</v>
      </c>
      <c r="C175" s="6">
        <f t="shared" si="8"/>
        <v>172</v>
      </c>
      <c r="D175" s="187" t="s">
        <v>340</v>
      </c>
      <c r="E175" s="187" t="s">
        <v>641</v>
      </c>
      <c r="F175" s="187" t="s">
        <v>1075</v>
      </c>
      <c r="G175" s="187" t="s">
        <v>1569</v>
      </c>
      <c r="H175" s="187" t="s">
        <v>2025</v>
      </c>
      <c r="I175" s="294" t="s">
        <v>2420</v>
      </c>
    </row>
    <row r="176" spans="1:9" ht="25.5">
      <c r="A176" s="6">
        <f t="shared" si="6"/>
        <v>173</v>
      </c>
      <c r="B176" s="190" t="str">
        <f t="shared" si="7"/>
        <v>Signal green arrow, red cross for direction (Yes = 1, No = 0)</v>
      </c>
      <c r="C176" s="6">
        <f t="shared" si="8"/>
        <v>173</v>
      </c>
      <c r="D176" s="190" t="s">
        <v>341</v>
      </c>
      <c r="E176" s="190" t="s">
        <v>729</v>
      </c>
      <c r="F176" s="190" t="s">
        <v>1076</v>
      </c>
      <c r="G176" s="190" t="s">
        <v>1570</v>
      </c>
      <c r="H176" s="190" t="s">
        <v>2026</v>
      </c>
      <c r="I176" s="303" t="s">
        <v>2421</v>
      </c>
    </row>
    <row r="177" spans="1:9" ht="25.5">
      <c r="A177" s="6">
        <f t="shared" si="6"/>
        <v>174</v>
      </c>
      <c r="B177" s="190" t="str">
        <f t="shared" si="7"/>
        <v>Signal full/free (Yes = 1, No = 0)</v>
      </c>
      <c r="C177" s="6">
        <f t="shared" si="8"/>
        <v>174</v>
      </c>
      <c r="D177" s="190" t="s">
        <v>342</v>
      </c>
      <c r="E177" s="190" t="s">
        <v>730</v>
      </c>
      <c r="F177" s="190" t="s">
        <v>1077</v>
      </c>
      <c r="G177" s="190" t="s">
        <v>1571</v>
      </c>
      <c r="H177" s="190" t="s">
        <v>2027</v>
      </c>
      <c r="I177" s="300" t="s">
        <v>2422</v>
      </c>
    </row>
    <row r="178" spans="1:9" ht="25.5">
      <c r="A178" s="6">
        <f t="shared" si="6"/>
        <v>175</v>
      </c>
      <c r="B178" s="190" t="str">
        <f t="shared" si="7"/>
        <v>Signage at pedestrian entrance (Yes = 1, No = 0)</v>
      </c>
      <c r="C178" s="6">
        <f t="shared" si="8"/>
        <v>175</v>
      </c>
      <c r="D178" s="190" t="s">
        <v>343</v>
      </c>
      <c r="E178" s="190" t="s">
        <v>731</v>
      </c>
      <c r="F178" s="190" t="s">
        <v>1078</v>
      </c>
      <c r="G178" s="190" t="s">
        <v>1572</v>
      </c>
      <c r="H178" s="190" t="s">
        <v>2028</v>
      </c>
      <c r="I178" s="300" t="s">
        <v>2423</v>
      </c>
    </row>
    <row r="179" spans="1:9">
      <c r="A179" s="6">
        <f t="shared" si="6"/>
        <v>176</v>
      </c>
      <c r="B179" s="191" t="str">
        <f t="shared" si="7"/>
        <v>Comfort and Miscellaneous</v>
      </c>
      <c r="C179" s="6">
        <f t="shared" si="8"/>
        <v>176</v>
      </c>
      <c r="D179" s="191" t="s">
        <v>2776</v>
      </c>
      <c r="E179" s="191" t="s">
        <v>642</v>
      </c>
      <c r="F179" s="191" t="s">
        <v>1079</v>
      </c>
      <c r="G179" s="191" t="s">
        <v>1573</v>
      </c>
      <c r="H179" s="191" t="s">
        <v>2029</v>
      </c>
      <c r="I179" s="304" t="s">
        <v>2424</v>
      </c>
    </row>
    <row r="180" spans="1:9">
      <c r="A180" s="6">
        <f t="shared" si="6"/>
        <v>177</v>
      </c>
      <c r="B180" s="187" t="str">
        <f t="shared" si="7"/>
        <v>Notice-board at pedestrian entrance/exit showing:</v>
      </c>
      <c r="C180" s="6">
        <f t="shared" si="8"/>
        <v>177</v>
      </c>
      <c r="D180" s="187" t="s">
        <v>1338</v>
      </c>
      <c r="E180" s="187" t="s">
        <v>643</v>
      </c>
      <c r="F180" s="187" t="s">
        <v>1080</v>
      </c>
      <c r="G180" s="187" t="s">
        <v>1574</v>
      </c>
      <c r="H180" s="187" t="s">
        <v>2030</v>
      </c>
      <c r="I180" s="294" t="s">
        <v>2425</v>
      </c>
    </row>
    <row r="181" spans="1:9" ht="25.5">
      <c r="A181" s="6">
        <f t="shared" si="6"/>
        <v>178</v>
      </c>
      <c r="B181" s="190" t="str">
        <f t="shared" si="7"/>
        <v>Access hours normal/special (yes = 1, no = 0)</v>
      </c>
      <c r="C181" s="6">
        <f t="shared" si="8"/>
        <v>178</v>
      </c>
      <c r="D181" s="190" t="s">
        <v>344</v>
      </c>
      <c r="E181" s="190" t="s">
        <v>732</v>
      </c>
      <c r="F181" s="190" t="s">
        <v>1081</v>
      </c>
      <c r="G181" s="190" t="s">
        <v>1575</v>
      </c>
      <c r="H181" s="190" t="s">
        <v>2031</v>
      </c>
      <c r="I181" s="305" t="s">
        <v>2426</v>
      </c>
    </row>
    <row r="182" spans="1:9" ht="25.5">
      <c r="A182" s="6">
        <f t="shared" si="6"/>
        <v>179</v>
      </c>
      <c r="B182" s="190" t="str">
        <f t="shared" si="7"/>
        <v>Readable &amp; understandable tariff board (yes = 1, no = 0)</v>
      </c>
      <c r="C182" s="6">
        <f t="shared" si="8"/>
        <v>179</v>
      </c>
      <c r="D182" s="190" t="s">
        <v>345</v>
      </c>
      <c r="E182" s="190" t="s">
        <v>733</v>
      </c>
      <c r="F182" s="190" t="s">
        <v>1082</v>
      </c>
      <c r="G182" s="190" t="s">
        <v>1576</v>
      </c>
      <c r="H182" s="190" t="s">
        <v>2032</v>
      </c>
      <c r="I182" s="300" t="s">
        <v>2427</v>
      </c>
    </row>
    <row r="183" spans="1:9" ht="25.5">
      <c r="A183" s="6">
        <f t="shared" si="6"/>
        <v>180</v>
      </c>
      <c r="B183" s="190" t="str">
        <f t="shared" si="7"/>
        <v>Operators terms and conditions (yes = 1, no = 0)</v>
      </c>
      <c r="C183" s="6">
        <f t="shared" si="8"/>
        <v>180</v>
      </c>
      <c r="D183" s="190" t="s">
        <v>346</v>
      </c>
      <c r="E183" s="190" t="s">
        <v>734</v>
      </c>
      <c r="F183" s="190" t="s">
        <v>1083</v>
      </c>
      <c r="G183" s="190" t="s">
        <v>1577</v>
      </c>
      <c r="H183" s="190" t="s">
        <v>2033</v>
      </c>
      <c r="I183" s="300" t="s">
        <v>2530</v>
      </c>
    </row>
    <row r="184" spans="1:9" ht="25.5">
      <c r="A184" s="6">
        <f t="shared" ref="A184:A247" si="9">C184</f>
        <v>181</v>
      </c>
      <c r="B184" s="187" t="str">
        <f t="shared" si="7"/>
        <v>Payment options (pay at exit/pay at pay station):</v>
      </c>
      <c r="C184" s="6">
        <f t="shared" si="8"/>
        <v>181</v>
      </c>
      <c r="D184" s="187" t="s">
        <v>347</v>
      </c>
      <c r="E184" s="187" t="s">
        <v>644</v>
      </c>
      <c r="F184" s="187" t="s">
        <v>1084</v>
      </c>
      <c r="G184" s="187" t="s">
        <v>1578</v>
      </c>
      <c r="H184" s="187" t="s">
        <v>2034</v>
      </c>
      <c r="I184" s="294" t="s">
        <v>2428</v>
      </c>
    </row>
    <row r="185" spans="1:9">
      <c r="A185" s="6">
        <f t="shared" si="9"/>
        <v>182</v>
      </c>
      <c r="B185" s="190" t="str">
        <f t="shared" si="7"/>
        <v>Accepts coins? (yes =1, no =0)</v>
      </c>
      <c r="C185" s="6">
        <f t="shared" si="8"/>
        <v>182</v>
      </c>
      <c r="D185" s="190" t="s">
        <v>348</v>
      </c>
      <c r="E185" s="190" t="s">
        <v>667</v>
      </c>
      <c r="F185" s="190" t="s">
        <v>1085</v>
      </c>
      <c r="G185" s="190" t="s">
        <v>1579</v>
      </c>
      <c r="H185" s="190" t="s">
        <v>2035</v>
      </c>
      <c r="I185" s="300" t="s">
        <v>2429</v>
      </c>
    </row>
    <row r="186" spans="1:9">
      <c r="A186" s="6">
        <f t="shared" si="9"/>
        <v>183</v>
      </c>
      <c r="B186" s="190" t="str">
        <f t="shared" si="7"/>
        <v>Change given? (yes =1, no =0)</v>
      </c>
      <c r="C186" s="6">
        <f t="shared" si="8"/>
        <v>183</v>
      </c>
      <c r="D186" s="190" t="s">
        <v>349</v>
      </c>
      <c r="E186" s="190" t="s">
        <v>668</v>
      </c>
      <c r="F186" s="190" t="s">
        <v>1086</v>
      </c>
      <c r="G186" s="190" t="s">
        <v>1580</v>
      </c>
      <c r="H186" s="190" t="s">
        <v>2036</v>
      </c>
      <c r="I186" s="300" t="s">
        <v>2430</v>
      </c>
    </row>
    <row r="187" spans="1:9">
      <c r="A187" s="6">
        <f t="shared" si="9"/>
        <v>184</v>
      </c>
      <c r="B187" s="190" t="str">
        <f t="shared" si="7"/>
        <v>Accepts banknotes?  (yes =1, no =0)</v>
      </c>
      <c r="C187" s="6">
        <f t="shared" si="8"/>
        <v>184</v>
      </c>
      <c r="D187" s="190" t="s">
        <v>351</v>
      </c>
      <c r="E187" s="190" t="s">
        <v>669</v>
      </c>
      <c r="F187" s="190" t="s">
        <v>1087</v>
      </c>
      <c r="G187" s="190" t="s">
        <v>1581</v>
      </c>
      <c r="H187" s="190" t="s">
        <v>2037</v>
      </c>
      <c r="I187" s="300" t="s">
        <v>2431</v>
      </c>
    </row>
    <row r="188" spans="1:9">
      <c r="A188" s="6">
        <f t="shared" si="9"/>
        <v>185</v>
      </c>
      <c r="B188" s="190" t="str">
        <f t="shared" si="7"/>
        <v>Accepts bank cards?  (yes =1, no =0)</v>
      </c>
      <c r="C188" s="6">
        <f t="shared" si="8"/>
        <v>185</v>
      </c>
      <c r="D188" s="190" t="s">
        <v>350</v>
      </c>
      <c r="E188" s="190" t="s">
        <v>670</v>
      </c>
      <c r="F188" s="190" t="s">
        <v>1088</v>
      </c>
      <c r="G188" s="190" t="s">
        <v>1582</v>
      </c>
      <c r="H188" s="190" t="s">
        <v>2038</v>
      </c>
      <c r="I188" s="300" t="s">
        <v>2432</v>
      </c>
    </row>
    <row r="189" spans="1:9">
      <c r="A189" s="6">
        <f t="shared" si="9"/>
        <v>186</v>
      </c>
      <c r="B189" s="190" t="str">
        <f t="shared" si="7"/>
        <v>Payment by smart phone? (yes =1, no =0)</v>
      </c>
      <c r="C189" s="6">
        <f t="shared" si="8"/>
        <v>186</v>
      </c>
      <c r="D189" s="190" t="s">
        <v>352</v>
      </c>
      <c r="E189" s="190" t="s">
        <v>671</v>
      </c>
      <c r="F189" s="190" t="s">
        <v>1089</v>
      </c>
      <c r="G189" s="190" t="s">
        <v>1583</v>
      </c>
      <c r="H189" s="190" t="s">
        <v>2039</v>
      </c>
      <c r="I189" s="300" t="s">
        <v>2531</v>
      </c>
    </row>
    <row r="190" spans="1:9">
      <c r="A190" s="6">
        <f t="shared" si="9"/>
        <v>187</v>
      </c>
      <c r="B190" s="190" t="str">
        <f t="shared" si="7"/>
        <v>Payment by card/phone at exit? (yes =1, no =0)</v>
      </c>
      <c r="C190" s="6">
        <f t="shared" si="8"/>
        <v>187</v>
      </c>
      <c r="D190" s="190" t="s">
        <v>353</v>
      </c>
      <c r="E190" s="190" t="s">
        <v>672</v>
      </c>
      <c r="F190" s="190" t="s">
        <v>1090</v>
      </c>
      <c r="G190" s="190" t="s">
        <v>1584</v>
      </c>
      <c r="H190" s="190" t="s">
        <v>2040</v>
      </c>
      <c r="I190" s="300" t="s">
        <v>2433</v>
      </c>
    </row>
    <row r="191" spans="1:9" ht="25.5">
      <c r="A191" s="6">
        <f t="shared" si="9"/>
        <v>188</v>
      </c>
      <c r="B191" s="190" t="str">
        <f t="shared" si="7"/>
        <v>ID &amp; payment by LPR? (yes =1, no =0)</v>
      </c>
      <c r="C191" s="6">
        <f t="shared" si="8"/>
        <v>188</v>
      </c>
      <c r="D191" s="190" t="s">
        <v>354</v>
      </c>
      <c r="E191" s="190" t="s">
        <v>673</v>
      </c>
      <c r="F191" s="190" t="s">
        <v>1091</v>
      </c>
      <c r="G191" s="190" t="s">
        <v>1585</v>
      </c>
      <c r="H191" s="190" t="s">
        <v>2041</v>
      </c>
      <c r="I191" s="303" t="s">
        <v>2434</v>
      </c>
    </row>
    <row r="192" spans="1:9" ht="25.5">
      <c r="A192" s="6">
        <f t="shared" si="9"/>
        <v>189</v>
      </c>
      <c r="B192" s="190" t="str">
        <f t="shared" si="7"/>
        <v>Accepts other cards: How many? (1 point per additional option up to 3)</v>
      </c>
      <c r="C192" s="6">
        <f t="shared" si="8"/>
        <v>189</v>
      </c>
      <c r="D192" s="190" t="s">
        <v>355</v>
      </c>
      <c r="E192" s="190" t="s">
        <v>735</v>
      </c>
      <c r="F192" s="190" t="s">
        <v>1092</v>
      </c>
      <c r="G192" s="190" t="s">
        <v>1586</v>
      </c>
      <c r="H192" s="190" t="s">
        <v>2042</v>
      </c>
      <c r="I192" s="300" t="s">
        <v>2435</v>
      </c>
    </row>
    <row r="193" spans="1:9" ht="25.5">
      <c r="A193" s="6">
        <f t="shared" si="9"/>
        <v>190</v>
      </c>
      <c r="B193" s="187" t="str">
        <f t="shared" si="7"/>
        <v>Payment at staffed desk: (yes = 1, no = 0)</v>
      </c>
      <c r="C193" s="6">
        <f t="shared" si="8"/>
        <v>190</v>
      </c>
      <c r="D193" s="187" t="s">
        <v>360</v>
      </c>
      <c r="E193" s="187" t="s">
        <v>1094</v>
      </c>
      <c r="F193" s="187" t="s">
        <v>1093</v>
      </c>
      <c r="G193" s="187" t="s">
        <v>1587</v>
      </c>
      <c r="H193" s="187" t="s">
        <v>2043</v>
      </c>
      <c r="I193" s="294" t="s">
        <v>2436</v>
      </c>
    </row>
    <row r="194" spans="1:9" ht="25.5">
      <c r="A194" s="6">
        <f t="shared" si="9"/>
        <v>191</v>
      </c>
      <c r="B194" s="187" t="str">
        <f t="shared" si="7"/>
        <v>Is this a Pay and Display Car Park?</v>
      </c>
      <c r="C194" s="6">
        <f t="shared" si="8"/>
        <v>191</v>
      </c>
      <c r="D194" s="187" t="s">
        <v>361</v>
      </c>
      <c r="E194" s="187" t="s">
        <v>645</v>
      </c>
      <c r="F194" s="187" t="s">
        <v>1095</v>
      </c>
      <c r="G194" s="187" t="s">
        <v>1588</v>
      </c>
      <c r="H194" s="187" t="s">
        <v>2044</v>
      </c>
      <c r="I194" s="306" t="s">
        <v>2437</v>
      </c>
    </row>
    <row r="195" spans="1:9" ht="63.75">
      <c r="A195" s="6">
        <f t="shared" si="9"/>
        <v>192</v>
      </c>
      <c r="B195" s="188" t="str">
        <f t="shared" si="7"/>
        <v>Number of Pay points for Barrier controlled car parks:
(One pay station = 0,  More than one =1, One at each pedestrian entrance, excluding fire escapes =2, More than one at each pedestrian entrance =3)</v>
      </c>
      <c r="C195" s="6">
        <f t="shared" si="8"/>
        <v>192</v>
      </c>
      <c r="D195" s="188" t="s">
        <v>538</v>
      </c>
      <c r="E195" s="188" t="s">
        <v>736</v>
      </c>
      <c r="F195" s="188" t="s">
        <v>1339</v>
      </c>
      <c r="G195" s="188" t="s">
        <v>1685</v>
      </c>
      <c r="H195" s="188" t="s">
        <v>2045</v>
      </c>
      <c r="I195" s="298" t="s">
        <v>2438</v>
      </c>
    </row>
    <row r="196" spans="1:9" ht="51">
      <c r="A196" s="6">
        <f t="shared" si="9"/>
        <v>193</v>
      </c>
      <c r="B196" s="188" t="str">
        <f t="shared" ref="B196:B259" si="10">IF(ISBLANK(VLOOKUP(A196,$C$4:$V$9989,1+$A$1)),D196,VLOOKUP(A196,$C$4:$V$9989,1+$A$1))</f>
        <v>Number of Pay points for Pay and Display Car Parks
(One =0, &lt; 1 for every 50 spaces =2, &gt;1 for every 50 spaces =3)</v>
      </c>
      <c r="C196" s="6">
        <f t="shared" si="8"/>
        <v>193</v>
      </c>
      <c r="D196" s="188" t="s">
        <v>365</v>
      </c>
      <c r="E196" s="188" t="s">
        <v>737</v>
      </c>
      <c r="F196" s="188" t="s">
        <v>1340</v>
      </c>
      <c r="G196" s="188" t="s">
        <v>1686</v>
      </c>
      <c r="H196" s="188" t="s">
        <v>2046</v>
      </c>
      <c r="I196" s="307" t="s">
        <v>2439</v>
      </c>
    </row>
    <row r="197" spans="1:9">
      <c r="A197" s="6">
        <f t="shared" si="9"/>
        <v>194</v>
      </c>
      <c r="B197" s="187" t="str">
        <f t="shared" si="10"/>
        <v>Customer toilets:</v>
      </c>
      <c r="C197" s="6">
        <f t="shared" si="8"/>
        <v>194</v>
      </c>
      <c r="D197" s="187" t="s">
        <v>369</v>
      </c>
      <c r="E197" s="187" t="s">
        <v>646</v>
      </c>
      <c r="F197" s="187" t="s">
        <v>1096</v>
      </c>
      <c r="G197" s="187" t="s">
        <v>1589</v>
      </c>
      <c r="H197" s="187" t="s">
        <v>2047</v>
      </c>
      <c r="I197" s="294" t="s">
        <v>2440</v>
      </c>
    </row>
    <row r="198" spans="1:9">
      <c r="A198" s="6">
        <f t="shared" si="9"/>
        <v>195</v>
      </c>
      <c r="B198" s="190" t="str">
        <f t="shared" si="10"/>
        <v>Exist? (yes= 2, no= 0)</v>
      </c>
      <c r="C198" s="6">
        <f t="shared" si="8"/>
        <v>195</v>
      </c>
      <c r="D198" s="190" t="s">
        <v>370</v>
      </c>
      <c r="E198" s="190" t="s">
        <v>738</v>
      </c>
      <c r="F198" s="190" t="s">
        <v>1097</v>
      </c>
      <c r="G198" s="190" t="s">
        <v>1590</v>
      </c>
      <c r="H198" s="190" t="s">
        <v>2048</v>
      </c>
      <c r="I198" s="300" t="s">
        <v>2441</v>
      </c>
    </row>
    <row r="199" spans="1:9" ht="25.5">
      <c r="A199" s="6">
        <f t="shared" si="9"/>
        <v>196</v>
      </c>
      <c r="B199" s="190" t="str">
        <f t="shared" si="10"/>
        <v>Disabled toilet? (yes=1, no= 0)</v>
      </c>
      <c r="C199" s="6">
        <f t="shared" si="8"/>
        <v>196</v>
      </c>
      <c r="D199" s="190" t="s">
        <v>371</v>
      </c>
      <c r="E199" s="190" t="s">
        <v>739</v>
      </c>
      <c r="F199" s="190" t="s">
        <v>1098</v>
      </c>
      <c r="G199" s="190" t="s">
        <v>1591</v>
      </c>
      <c r="H199" s="190" t="s">
        <v>2049</v>
      </c>
      <c r="I199" s="300" t="s">
        <v>2442</v>
      </c>
    </row>
    <row r="200" spans="1:9">
      <c r="A200" s="6">
        <f t="shared" si="9"/>
        <v>197</v>
      </c>
      <c r="B200" s="190" t="str">
        <f t="shared" si="10"/>
        <v>unisex = 0, male/female separated = 1</v>
      </c>
      <c r="C200" s="6">
        <f t="shared" si="8"/>
        <v>197</v>
      </c>
      <c r="D200" s="190" t="s">
        <v>372</v>
      </c>
      <c r="E200" s="190" t="s">
        <v>740</v>
      </c>
      <c r="F200" s="190" t="s">
        <v>1099</v>
      </c>
      <c r="G200" s="190" t="s">
        <v>1592</v>
      </c>
      <c r="H200" s="190" t="s">
        <v>2050</v>
      </c>
      <c r="I200" s="300" t="s">
        <v>2443</v>
      </c>
    </row>
    <row r="201" spans="1:9" ht="25.5">
      <c r="A201" s="6">
        <f t="shared" si="9"/>
        <v>198</v>
      </c>
      <c r="B201" s="190" t="str">
        <f t="shared" si="10"/>
        <v>attendant: yes=1, no= 0</v>
      </c>
      <c r="C201" s="6">
        <f t="shared" ref="C201:C265" si="11">C200+1</f>
        <v>198</v>
      </c>
      <c r="D201" s="190" t="s">
        <v>375</v>
      </c>
      <c r="E201" s="190" t="s">
        <v>741</v>
      </c>
      <c r="F201" s="190" t="s">
        <v>1100</v>
      </c>
      <c r="G201" s="190" t="s">
        <v>1593</v>
      </c>
      <c r="H201" s="190" t="s">
        <v>2051</v>
      </c>
      <c r="I201" s="300" t="s">
        <v>2444</v>
      </c>
    </row>
    <row r="202" spans="1:9">
      <c r="A202" s="6">
        <f t="shared" si="9"/>
        <v>199</v>
      </c>
      <c r="B202" s="187" t="str">
        <f t="shared" si="10"/>
        <v>Use of colours/ embellishing works</v>
      </c>
      <c r="C202" s="6">
        <f t="shared" si="11"/>
        <v>199</v>
      </c>
      <c r="D202" s="187" t="s">
        <v>376</v>
      </c>
      <c r="E202" s="187" t="s">
        <v>647</v>
      </c>
      <c r="F202" s="187" t="s">
        <v>1101</v>
      </c>
      <c r="G202" s="187" t="s">
        <v>1594</v>
      </c>
      <c r="H202" s="187" t="s">
        <v>2052</v>
      </c>
      <c r="I202" s="294" t="s">
        <v>2445</v>
      </c>
    </row>
    <row r="203" spans="1:9">
      <c r="A203" s="6">
        <f t="shared" si="9"/>
        <v>200</v>
      </c>
      <c r="B203" s="188" t="str">
        <f t="shared" si="10"/>
        <v>Coloured pillars =1, no/concrete grey = 0</v>
      </c>
      <c r="C203" s="6">
        <f t="shared" si="11"/>
        <v>200</v>
      </c>
      <c r="D203" s="188" t="s">
        <v>377</v>
      </c>
      <c r="E203" s="188" t="s">
        <v>648</v>
      </c>
      <c r="F203" s="188" t="s">
        <v>1102</v>
      </c>
      <c r="G203" s="188" t="s">
        <v>1595</v>
      </c>
      <c r="H203" s="188" t="s">
        <v>2053</v>
      </c>
      <c r="I203" s="298" t="s">
        <v>2446</v>
      </c>
    </row>
    <row r="204" spans="1:9">
      <c r="A204" s="6">
        <f t="shared" si="9"/>
        <v>201</v>
      </c>
      <c r="B204" s="188" t="str">
        <f t="shared" si="10"/>
        <v>Coloured walls =1, no/concrete grey = 0</v>
      </c>
      <c r="C204" s="6">
        <f t="shared" si="11"/>
        <v>201</v>
      </c>
      <c r="D204" s="188" t="s">
        <v>378</v>
      </c>
      <c r="E204" s="188" t="s">
        <v>649</v>
      </c>
      <c r="F204" s="188" t="s">
        <v>1103</v>
      </c>
      <c r="G204" s="188" t="s">
        <v>1596</v>
      </c>
      <c r="H204" s="188" t="s">
        <v>2054</v>
      </c>
      <c r="I204" s="298" t="s">
        <v>2447</v>
      </c>
    </row>
    <row r="205" spans="1:9">
      <c r="A205" s="6">
        <f t="shared" si="9"/>
        <v>202</v>
      </c>
      <c r="B205" s="187" t="str">
        <f t="shared" si="10"/>
        <v>Extra embellishment</v>
      </c>
      <c r="C205" s="6">
        <f t="shared" si="11"/>
        <v>202</v>
      </c>
      <c r="D205" s="187" t="s">
        <v>382</v>
      </c>
      <c r="E205" s="187" t="s">
        <v>650</v>
      </c>
      <c r="F205" s="187" t="s">
        <v>1104</v>
      </c>
      <c r="G205" s="187" t="s">
        <v>1597</v>
      </c>
      <c r="H205" s="187" t="s">
        <v>2055</v>
      </c>
      <c r="I205" s="294" t="s">
        <v>2448</v>
      </c>
    </row>
    <row r="206" spans="1:9">
      <c r="A206" s="6">
        <f t="shared" si="9"/>
        <v>203</v>
      </c>
      <c r="B206" s="190" t="str">
        <f t="shared" si="10"/>
        <v xml:space="preserve"> Artwork: (Yes = 2, No = 0)</v>
      </c>
      <c r="C206" s="6">
        <f t="shared" si="11"/>
        <v>203</v>
      </c>
      <c r="D206" s="190" t="s">
        <v>384</v>
      </c>
      <c r="E206" s="190" t="s">
        <v>651</v>
      </c>
      <c r="F206" s="190" t="s">
        <v>1105</v>
      </c>
      <c r="G206" s="190" t="s">
        <v>1598</v>
      </c>
      <c r="H206" s="190" t="s">
        <v>2056</v>
      </c>
      <c r="I206" s="300" t="s">
        <v>2532</v>
      </c>
    </row>
    <row r="207" spans="1:9">
      <c r="A207" s="6">
        <f t="shared" si="9"/>
        <v>204</v>
      </c>
      <c r="B207" s="190" t="str">
        <f t="shared" si="10"/>
        <v>Planters: (Yes = 1, No = 0)</v>
      </c>
      <c r="C207" s="6">
        <f t="shared" si="11"/>
        <v>204</v>
      </c>
      <c r="D207" s="190" t="s">
        <v>383</v>
      </c>
      <c r="E207" s="190" t="s">
        <v>652</v>
      </c>
      <c r="F207" s="190" t="s">
        <v>1106</v>
      </c>
      <c r="G207" s="190" t="s">
        <v>1599</v>
      </c>
      <c r="H207" s="190" t="s">
        <v>2057</v>
      </c>
      <c r="I207" s="300" t="s">
        <v>2449</v>
      </c>
    </row>
    <row r="208" spans="1:9">
      <c r="A208" s="6">
        <f t="shared" si="9"/>
        <v>205</v>
      </c>
      <c r="B208" s="190" t="str">
        <f t="shared" si="10"/>
        <v>Other: (Yes = 1, No = 0)</v>
      </c>
      <c r="C208" s="6">
        <f t="shared" si="11"/>
        <v>205</v>
      </c>
      <c r="D208" s="190" t="s">
        <v>385</v>
      </c>
      <c r="E208" s="190" t="s">
        <v>653</v>
      </c>
      <c r="F208" s="190" t="s">
        <v>1107</v>
      </c>
      <c r="G208" s="190" t="s">
        <v>1600</v>
      </c>
      <c r="H208" s="190" t="s">
        <v>2058</v>
      </c>
      <c r="I208" s="300" t="s">
        <v>2450</v>
      </c>
    </row>
    <row r="209" spans="1:9" ht="25.5">
      <c r="A209" s="6">
        <f t="shared" si="9"/>
        <v>206</v>
      </c>
      <c r="B209" s="187" t="str">
        <f t="shared" si="10"/>
        <v>Mobile phone coverage (Yes = 2, No = 0)</v>
      </c>
      <c r="C209" s="6">
        <f t="shared" si="11"/>
        <v>206</v>
      </c>
      <c r="D209" s="187" t="s">
        <v>386</v>
      </c>
      <c r="E209" s="187" t="s">
        <v>742</v>
      </c>
      <c r="F209" s="187" t="s">
        <v>1108</v>
      </c>
      <c r="G209" s="187" t="s">
        <v>1601</v>
      </c>
      <c r="H209" s="187" t="s">
        <v>2059</v>
      </c>
      <c r="I209" s="294" t="s">
        <v>2451</v>
      </c>
    </row>
    <row r="210" spans="1:9" ht="25.5">
      <c r="A210" s="6">
        <f t="shared" si="9"/>
        <v>207</v>
      </c>
      <c r="B210" s="187" t="str">
        <f t="shared" si="10"/>
        <v>Continuity of radio signals (Yes = 1, No = 0)</v>
      </c>
      <c r="C210" s="6">
        <f t="shared" si="11"/>
        <v>207</v>
      </c>
      <c r="D210" s="187" t="s">
        <v>387</v>
      </c>
      <c r="E210" s="187" t="s">
        <v>743</v>
      </c>
      <c r="F210" s="187" t="s">
        <v>1109</v>
      </c>
      <c r="G210" s="187" t="s">
        <v>1602</v>
      </c>
      <c r="H210" s="187" t="s">
        <v>2060</v>
      </c>
      <c r="I210" s="294" t="s">
        <v>2452</v>
      </c>
    </row>
    <row r="211" spans="1:9">
      <c r="A211" s="6">
        <f t="shared" si="9"/>
        <v>208</v>
      </c>
      <c r="B211" s="187" t="str">
        <f t="shared" si="10"/>
        <v>Music</v>
      </c>
      <c r="C211" s="6">
        <f t="shared" si="11"/>
        <v>208</v>
      </c>
      <c r="D211" s="187" t="s">
        <v>390</v>
      </c>
      <c r="E211" s="187" t="s">
        <v>654</v>
      </c>
      <c r="F211" s="187" t="s">
        <v>1110</v>
      </c>
      <c r="G211" s="187" t="s">
        <v>1603</v>
      </c>
      <c r="H211" s="187" t="s">
        <v>2061</v>
      </c>
      <c r="I211" s="294" t="s">
        <v>2061</v>
      </c>
    </row>
    <row r="212" spans="1:9" ht="25.5">
      <c r="A212" s="6">
        <f t="shared" si="9"/>
        <v>209</v>
      </c>
      <c r="B212" s="188" t="str">
        <f t="shared" si="10"/>
        <v>Background music: yes = 2, No = 0</v>
      </c>
      <c r="C212" s="6">
        <f t="shared" si="11"/>
        <v>209</v>
      </c>
      <c r="D212" s="188" t="s">
        <v>388</v>
      </c>
      <c r="E212" s="188" t="s">
        <v>744</v>
      </c>
      <c r="F212" s="188" t="s">
        <v>1111</v>
      </c>
      <c r="G212" s="188" t="s">
        <v>1604</v>
      </c>
      <c r="H212" s="188" t="s">
        <v>2062</v>
      </c>
      <c r="I212" s="298" t="s">
        <v>2453</v>
      </c>
    </row>
    <row r="213" spans="1:9" ht="25.5">
      <c r="A213" s="6">
        <f t="shared" si="9"/>
        <v>210</v>
      </c>
      <c r="B213" s="188" t="str">
        <f t="shared" si="10"/>
        <v>Differentiation for way finding :  yes =1, No = 0</v>
      </c>
      <c r="C213" s="6">
        <f t="shared" si="11"/>
        <v>210</v>
      </c>
      <c r="D213" s="188" t="s">
        <v>389</v>
      </c>
      <c r="E213" s="188" t="s">
        <v>745</v>
      </c>
      <c r="F213" s="188" t="s">
        <v>1112</v>
      </c>
      <c r="G213" s="188" t="s">
        <v>1605</v>
      </c>
      <c r="H213" s="188" t="s">
        <v>2063</v>
      </c>
      <c r="I213" s="308" t="s">
        <v>2533</v>
      </c>
    </row>
    <row r="214" spans="1:9">
      <c r="A214" s="6">
        <f t="shared" si="9"/>
        <v>211</v>
      </c>
      <c r="B214" s="185" t="str">
        <f t="shared" si="10"/>
        <v>Energy and Environment</v>
      </c>
      <c r="C214" s="6">
        <f t="shared" si="11"/>
        <v>211</v>
      </c>
      <c r="D214" s="185" t="s">
        <v>184</v>
      </c>
      <c r="E214" s="185" t="s">
        <v>655</v>
      </c>
      <c r="F214" s="185" t="s">
        <v>1113</v>
      </c>
      <c r="G214" s="185" t="s">
        <v>1606</v>
      </c>
      <c r="H214" s="185" t="s">
        <v>2064</v>
      </c>
      <c r="I214" s="256" t="s">
        <v>2454</v>
      </c>
    </row>
    <row r="215" spans="1:9">
      <c r="A215" s="6">
        <f t="shared" si="9"/>
        <v>212</v>
      </c>
      <c r="B215" s="185" t="str">
        <f t="shared" si="10"/>
        <v>Energy Saving Lighting Systems</v>
      </c>
      <c r="C215" s="6">
        <f t="shared" si="11"/>
        <v>212</v>
      </c>
      <c r="D215" s="185" t="s">
        <v>392</v>
      </c>
      <c r="E215" s="185" t="s">
        <v>656</v>
      </c>
      <c r="F215" s="185" t="s">
        <v>1114</v>
      </c>
      <c r="G215" s="185" t="s">
        <v>1607</v>
      </c>
      <c r="H215" s="185" t="s">
        <v>2065</v>
      </c>
      <c r="I215" s="185" t="s">
        <v>2455</v>
      </c>
    </row>
    <row r="216" spans="1:9">
      <c r="A216" s="6">
        <f t="shared" si="9"/>
        <v>213</v>
      </c>
      <c r="B216" s="185" t="str">
        <f t="shared" si="10"/>
        <v>Power Factor Compensation (Yes=1, No=0)</v>
      </c>
      <c r="C216" s="6">
        <f t="shared" si="11"/>
        <v>213</v>
      </c>
      <c r="D216" s="185" t="s">
        <v>391</v>
      </c>
      <c r="E216" s="185" t="s">
        <v>657</v>
      </c>
      <c r="F216" s="185" t="s">
        <v>1115</v>
      </c>
      <c r="G216" s="185" t="s">
        <v>1608</v>
      </c>
      <c r="H216" s="185" t="s">
        <v>2066</v>
      </c>
      <c r="I216" s="185" t="s">
        <v>2456</v>
      </c>
    </row>
    <row r="217" spans="1:9">
      <c r="A217" s="6">
        <f t="shared" si="9"/>
        <v>214</v>
      </c>
      <c r="B217" s="185" t="str">
        <f t="shared" si="10"/>
        <v>Other Systems (Yes=1, No=0)</v>
      </c>
      <c r="C217" s="6">
        <f t="shared" si="11"/>
        <v>214</v>
      </c>
      <c r="D217" s="185" t="s">
        <v>1755</v>
      </c>
      <c r="E217" s="185" t="s">
        <v>1756</v>
      </c>
      <c r="F217" s="185" t="s">
        <v>1757</v>
      </c>
      <c r="G217" s="185" t="s">
        <v>1758</v>
      </c>
      <c r="H217" s="185" t="s">
        <v>2067</v>
      </c>
      <c r="I217" s="185" t="s">
        <v>2457</v>
      </c>
    </row>
    <row r="218" spans="1:9" ht="28.5">
      <c r="A218" s="6">
        <f t="shared" si="9"/>
        <v>215</v>
      </c>
      <c r="B218" s="185" t="str">
        <f t="shared" si="10"/>
        <v>Movement detection variable lights, remaining quality (yes= 2, no= 0)</v>
      </c>
      <c r="C218" s="6">
        <f t="shared" si="11"/>
        <v>215</v>
      </c>
      <c r="D218" s="185" t="s">
        <v>1341</v>
      </c>
      <c r="E218" s="185" t="s">
        <v>746</v>
      </c>
      <c r="F218" s="185" t="s">
        <v>1116</v>
      </c>
      <c r="G218" s="185" t="s">
        <v>1609</v>
      </c>
      <c r="H218" s="185" t="s">
        <v>2068</v>
      </c>
      <c r="I218" s="185" t="s">
        <v>2458</v>
      </c>
    </row>
    <row r="219" spans="1:9" ht="57">
      <c r="A219" s="6">
        <f t="shared" si="9"/>
        <v>216</v>
      </c>
      <c r="B219" s="185" t="str">
        <f t="shared" si="10"/>
        <v>Adaptable lighting for daylight compensation at entrance area 
(yes= 2, no= 0)</v>
      </c>
      <c r="C219" s="6">
        <f t="shared" si="11"/>
        <v>216</v>
      </c>
      <c r="D219" s="185" t="s">
        <v>1342</v>
      </c>
      <c r="E219" s="185" t="s">
        <v>747</v>
      </c>
      <c r="F219" s="185" t="s">
        <v>1117</v>
      </c>
      <c r="G219" s="185" t="s">
        <v>1687</v>
      </c>
      <c r="H219" s="185" t="s">
        <v>2069</v>
      </c>
      <c r="I219" s="185" t="s">
        <v>2459</v>
      </c>
    </row>
    <row r="220" spans="1:9" ht="57">
      <c r="A220" s="6">
        <f t="shared" si="9"/>
        <v>217</v>
      </c>
      <c r="B220" s="185" t="str">
        <f t="shared" si="10"/>
        <v>Adaptable lighting for ambient light conditions at parking floor from daylight
(yes= 2, no= 0, Irrelevant (below ground) =2)</v>
      </c>
      <c r="C220" s="6">
        <f t="shared" si="11"/>
        <v>217</v>
      </c>
      <c r="D220" s="185" t="s">
        <v>394</v>
      </c>
      <c r="E220" s="185" t="s">
        <v>748</v>
      </c>
      <c r="F220" s="185" t="s">
        <v>1118</v>
      </c>
      <c r="G220" s="185" t="s">
        <v>1688</v>
      </c>
      <c r="H220" s="185" t="s">
        <v>2070</v>
      </c>
      <c r="I220" s="185" t="s">
        <v>2534</v>
      </c>
    </row>
    <row r="221" spans="1:9" ht="28.5">
      <c r="A221" s="6">
        <f t="shared" si="9"/>
        <v>218</v>
      </c>
      <c r="B221" s="185" t="str">
        <f t="shared" si="10"/>
        <v>Solar panels on the roof or other green energy initiatives (yes= 2, no= 0)</v>
      </c>
      <c r="C221" s="6">
        <f t="shared" si="11"/>
        <v>218</v>
      </c>
      <c r="D221" s="185" t="s">
        <v>393</v>
      </c>
      <c r="E221" s="185" t="s">
        <v>749</v>
      </c>
      <c r="F221" s="185" t="s">
        <v>1119</v>
      </c>
      <c r="G221" s="185" t="s">
        <v>1610</v>
      </c>
      <c r="H221" s="185" t="s">
        <v>2071</v>
      </c>
      <c r="I221" s="185" t="s">
        <v>2460</v>
      </c>
    </row>
    <row r="222" spans="1:9" ht="28.5">
      <c r="A222" s="6">
        <f t="shared" si="9"/>
        <v>219</v>
      </c>
      <c r="B222" s="185" t="str">
        <f t="shared" si="10"/>
        <v>Special treatment of cleaning water:
•  yes= 2, no= 0</v>
      </c>
      <c r="C222" s="6">
        <f t="shared" si="11"/>
        <v>219</v>
      </c>
      <c r="D222" s="185" t="s">
        <v>103</v>
      </c>
      <c r="E222" s="185" t="s">
        <v>750</v>
      </c>
      <c r="F222" s="185" t="s">
        <v>1120</v>
      </c>
      <c r="G222" s="185" t="s">
        <v>1689</v>
      </c>
      <c r="H222" s="185" t="s">
        <v>2072</v>
      </c>
      <c r="I222" s="185" t="s">
        <v>2535</v>
      </c>
    </row>
    <row r="223" spans="1:9" ht="42.75">
      <c r="A223" s="6">
        <f t="shared" si="9"/>
        <v>220</v>
      </c>
      <c r="B223" s="185" t="str">
        <f t="shared" si="10"/>
        <v xml:space="preserve">Grey water or re-use of rain water
•  yes= 2, no= 0
</v>
      </c>
      <c r="C223" s="6">
        <f t="shared" si="11"/>
        <v>220</v>
      </c>
      <c r="D223" s="185" t="s">
        <v>104</v>
      </c>
      <c r="E223" s="185" t="s">
        <v>751</v>
      </c>
      <c r="F223" s="185" t="s">
        <v>1121</v>
      </c>
      <c r="G223" s="185" t="s">
        <v>1690</v>
      </c>
      <c r="H223" s="185" t="s">
        <v>2073</v>
      </c>
      <c r="I223" s="291" t="s">
        <v>2536</v>
      </c>
    </row>
    <row r="224" spans="1:9" ht="28.5">
      <c r="A224" s="6">
        <f t="shared" si="9"/>
        <v>221</v>
      </c>
      <c r="B224" s="185" t="str">
        <f t="shared" si="10"/>
        <v>Electric Vehicles recharging points: (Yes, more than one= 2, One recharging point=1, None=0)</v>
      </c>
      <c r="C224" s="6">
        <f t="shared" si="11"/>
        <v>221</v>
      </c>
      <c r="D224" s="185" t="s">
        <v>397</v>
      </c>
      <c r="E224" s="185" t="s">
        <v>752</v>
      </c>
      <c r="F224" s="185" t="s">
        <v>1122</v>
      </c>
      <c r="G224" s="185" t="s">
        <v>1611</v>
      </c>
      <c r="H224" s="185" t="s">
        <v>2074</v>
      </c>
      <c r="I224" s="185" t="s">
        <v>2461</v>
      </c>
    </row>
    <row r="225" spans="1:9" ht="28.5">
      <c r="A225" s="6">
        <f t="shared" si="9"/>
        <v>222</v>
      </c>
      <c r="B225" s="185" t="str">
        <f t="shared" si="10"/>
        <v>Car sharing and similar initiatives
•  yes= 2, no= 0</v>
      </c>
      <c r="C225" s="6">
        <f t="shared" si="11"/>
        <v>222</v>
      </c>
      <c r="D225" s="185" t="s">
        <v>105</v>
      </c>
      <c r="E225" s="185" t="s">
        <v>753</v>
      </c>
      <c r="F225" s="185" t="s">
        <v>1343</v>
      </c>
      <c r="G225" s="185" t="s">
        <v>1691</v>
      </c>
      <c r="H225" s="185" t="s">
        <v>2075</v>
      </c>
      <c r="I225" s="185" t="s">
        <v>2537</v>
      </c>
    </row>
    <row r="226" spans="1:9" ht="28.5">
      <c r="A226" s="6">
        <f t="shared" si="9"/>
        <v>223</v>
      </c>
      <c r="B226" s="185" t="str">
        <f t="shared" si="10"/>
        <v>Other environmental or zero emission  initiatives
•  yes= 2, no= 0</v>
      </c>
      <c r="C226" s="6">
        <f t="shared" si="11"/>
        <v>223</v>
      </c>
      <c r="D226" s="185" t="s">
        <v>106</v>
      </c>
      <c r="E226" s="185" t="s">
        <v>754</v>
      </c>
      <c r="F226" s="185" t="s">
        <v>1123</v>
      </c>
      <c r="G226" s="185" t="s">
        <v>1692</v>
      </c>
      <c r="H226" s="185" t="s">
        <v>2076</v>
      </c>
      <c r="I226" s="185" t="s">
        <v>2462</v>
      </c>
    </row>
    <row r="227" spans="1:9">
      <c r="A227" s="6">
        <f t="shared" si="9"/>
        <v>224</v>
      </c>
      <c r="B227" s="185" t="str">
        <f t="shared" si="10"/>
        <v>Minus Points</v>
      </c>
      <c r="C227" s="6">
        <f t="shared" si="11"/>
        <v>224</v>
      </c>
      <c r="D227" s="185" t="s">
        <v>185</v>
      </c>
      <c r="E227" s="185" t="s">
        <v>658</v>
      </c>
      <c r="F227" s="185" t="s">
        <v>1124</v>
      </c>
      <c r="G227" s="185" t="s">
        <v>1612</v>
      </c>
      <c r="H227" s="185" t="s">
        <v>2077</v>
      </c>
      <c r="I227" s="256" t="s">
        <v>2463</v>
      </c>
    </row>
    <row r="228" spans="1:9">
      <c r="A228" s="6">
        <f t="shared" si="9"/>
        <v>225</v>
      </c>
      <c r="B228" s="185" t="str">
        <f t="shared" si="10"/>
        <v>Presence of Graffiti</v>
      </c>
      <c r="C228" s="6">
        <f t="shared" si="11"/>
        <v>225</v>
      </c>
      <c r="D228" s="185" t="s">
        <v>398</v>
      </c>
      <c r="E228" s="185" t="s">
        <v>659</v>
      </c>
      <c r="F228" s="185" t="s">
        <v>1125</v>
      </c>
      <c r="G228" s="185" t="s">
        <v>1613</v>
      </c>
      <c r="H228" s="185" t="s">
        <v>2078</v>
      </c>
      <c r="I228" s="185" t="s">
        <v>2464</v>
      </c>
    </row>
    <row r="229" spans="1:9" ht="28.5">
      <c r="A229" s="6">
        <f t="shared" si="9"/>
        <v>226</v>
      </c>
      <c r="B229" s="185" t="str">
        <f t="shared" si="10"/>
        <v>Stairwells (Yes= -2, No= 0)</v>
      </c>
      <c r="C229" s="6">
        <f t="shared" si="11"/>
        <v>226</v>
      </c>
      <c r="D229" s="185" t="s">
        <v>399</v>
      </c>
      <c r="E229" s="185" t="s">
        <v>755</v>
      </c>
      <c r="F229" s="185" t="s">
        <v>1126</v>
      </c>
      <c r="G229" s="185" t="s">
        <v>1614</v>
      </c>
      <c r="H229" s="185" t="s">
        <v>2079</v>
      </c>
      <c r="I229" s="185" t="s">
        <v>2465</v>
      </c>
    </row>
    <row r="230" spans="1:9" ht="28.5">
      <c r="A230" s="6">
        <f t="shared" si="9"/>
        <v>227</v>
      </c>
      <c r="B230" s="185" t="str">
        <f t="shared" si="10"/>
        <v>Elevator (Yes= -2, No= 0)</v>
      </c>
      <c r="C230" s="6">
        <f t="shared" si="11"/>
        <v>227</v>
      </c>
      <c r="D230" s="185" t="s">
        <v>400</v>
      </c>
      <c r="E230" s="185" t="s">
        <v>756</v>
      </c>
      <c r="F230" s="185" t="s">
        <v>1127</v>
      </c>
      <c r="G230" s="185" t="s">
        <v>1615</v>
      </c>
      <c r="H230" s="185" t="s">
        <v>2080</v>
      </c>
      <c r="I230" s="185" t="s">
        <v>2466</v>
      </c>
    </row>
    <row r="231" spans="1:9" ht="28.5">
      <c r="A231" s="6">
        <f t="shared" si="9"/>
        <v>228</v>
      </c>
      <c r="B231" s="185" t="str">
        <f t="shared" si="10"/>
        <v>Toilets (Yes= -2, No= 0)</v>
      </c>
      <c r="C231" s="6">
        <f t="shared" si="11"/>
        <v>228</v>
      </c>
      <c r="D231" s="185" t="s">
        <v>401</v>
      </c>
      <c r="E231" s="185" t="s">
        <v>757</v>
      </c>
      <c r="F231" s="185" t="s">
        <v>1128</v>
      </c>
      <c r="G231" s="185" t="s">
        <v>1616</v>
      </c>
      <c r="H231" s="185" t="s">
        <v>2081</v>
      </c>
      <c r="I231" s="185" t="s">
        <v>2467</v>
      </c>
    </row>
    <row r="232" spans="1:9" ht="28.5">
      <c r="A232" s="6">
        <f t="shared" si="9"/>
        <v>229</v>
      </c>
      <c r="B232" s="185" t="str">
        <f t="shared" si="10"/>
        <v>Parking area (Yes= -2, No= 0)</v>
      </c>
      <c r="C232" s="6">
        <f t="shared" si="11"/>
        <v>229</v>
      </c>
      <c r="D232" s="185" t="s">
        <v>402</v>
      </c>
      <c r="E232" s="185" t="s">
        <v>758</v>
      </c>
      <c r="F232" s="185" t="s">
        <v>1129</v>
      </c>
      <c r="G232" s="185" t="s">
        <v>1617</v>
      </c>
      <c r="H232" s="185" t="s">
        <v>2082</v>
      </c>
      <c r="I232" s="185" t="s">
        <v>2468</v>
      </c>
    </row>
    <row r="233" spans="1:9" ht="28.5">
      <c r="A233" s="6">
        <f t="shared" si="9"/>
        <v>230</v>
      </c>
      <c r="B233" s="185" t="str">
        <f t="shared" si="10"/>
        <v>Outside walls (Yes= -2, No= 0)</v>
      </c>
      <c r="C233" s="6">
        <f t="shared" si="11"/>
        <v>230</v>
      </c>
      <c r="D233" s="185" t="s">
        <v>403</v>
      </c>
      <c r="E233" s="185" t="s">
        <v>759</v>
      </c>
      <c r="F233" s="185" t="s">
        <v>1130</v>
      </c>
      <c r="G233" s="185" t="s">
        <v>1618</v>
      </c>
      <c r="H233" s="185" t="s">
        <v>2083</v>
      </c>
      <c r="I233" s="185" t="s">
        <v>2469</v>
      </c>
    </row>
    <row r="234" spans="1:9">
      <c r="A234" s="6">
        <f t="shared" si="9"/>
        <v>231</v>
      </c>
      <c r="B234" s="185" t="str">
        <f t="shared" si="10"/>
        <v>Presence of dirt</v>
      </c>
      <c r="C234" s="6">
        <f t="shared" si="11"/>
        <v>231</v>
      </c>
      <c r="D234" s="185" t="s">
        <v>404</v>
      </c>
      <c r="E234" s="185" t="s">
        <v>660</v>
      </c>
      <c r="F234" s="185" t="s">
        <v>1131</v>
      </c>
      <c r="G234" s="185" t="s">
        <v>1619</v>
      </c>
      <c r="H234" s="185" t="s">
        <v>2084</v>
      </c>
      <c r="I234" s="185" t="s">
        <v>2470</v>
      </c>
    </row>
    <row r="235" spans="1:9" ht="28.5">
      <c r="A235" s="6">
        <f t="shared" si="9"/>
        <v>232</v>
      </c>
      <c r="B235" s="185" t="str">
        <f t="shared" si="10"/>
        <v>Stairwells (Yes= -2, No= 0)</v>
      </c>
      <c r="C235" s="6">
        <f t="shared" si="11"/>
        <v>232</v>
      </c>
      <c r="D235" s="185" t="s">
        <v>399</v>
      </c>
      <c r="E235" s="185" t="s">
        <v>755</v>
      </c>
      <c r="F235" s="185" t="s">
        <v>1126</v>
      </c>
      <c r="G235" s="185" t="s">
        <v>1614</v>
      </c>
      <c r="H235" s="185" t="s">
        <v>2079</v>
      </c>
      <c r="I235" s="185" t="s">
        <v>2465</v>
      </c>
    </row>
    <row r="236" spans="1:9" ht="28.5">
      <c r="A236" s="6">
        <f t="shared" si="9"/>
        <v>233</v>
      </c>
      <c r="B236" s="185" t="str">
        <f t="shared" si="10"/>
        <v>Elevator (Yes= -2, No= 0)</v>
      </c>
      <c r="C236" s="6">
        <f t="shared" si="11"/>
        <v>233</v>
      </c>
      <c r="D236" s="185" t="s">
        <v>400</v>
      </c>
      <c r="E236" s="185" t="s">
        <v>756</v>
      </c>
      <c r="F236" s="185" t="s">
        <v>1127</v>
      </c>
      <c r="G236" s="185" t="s">
        <v>1615</v>
      </c>
      <c r="H236" s="185" t="s">
        <v>2080</v>
      </c>
      <c r="I236" s="185" t="s">
        <v>2466</v>
      </c>
    </row>
    <row r="237" spans="1:9" ht="28.5">
      <c r="A237" s="6">
        <f t="shared" si="9"/>
        <v>234</v>
      </c>
      <c r="B237" s="185" t="str">
        <f t="shared" si="10"/>
        <v>Toilets (Yes= -2, No= 0)</v>
      </c>
      <c r="C237" s="6">
        <f t="shared" si="11"/>
        <v>234</v>
      </c>
      <c r="D237" s="185" t="s">
        <v>401</v>
      </c>
      <c r="E237" s="185" t="s">
        <v>757</v>
      </c>
      <c r="F237" s="185" t="s">
        <v>1132</v>
      </c>
      <c r="G237" s="185" t="s">
        <v>1616</v>
      </c>
      <c r="H237" s="185" t="s">
        <v>2081</v>
      </c>
      <c r="I237" s="185" t="s">
        <v>2467</v>
      </c>
    </row>
    <row r="238" spans="1:9" ht="28.5">
      <c r="A238" s="6">
        <f t="shared" si="9"/>
        <v>235</v>
      </c>
      <c r="B238" s="185" t="str">
        <f t="shared" si="10"/>
        <v>Parking area (Yes= -2, No= 0)</v>
      </c>
      <c r="C238" s="6">
        <f t="shared" si="11"/>
        <v>235</v>
      </c>
      <c r="D238" s="185" t="s">
        <v>402</v>
      </c>
      <c r="E238" s="185" t="s">
        <v>758</v>
      </c>
      <c r="F238" s="185" t="s">
        <v>1133</v>
      </c>
      <c r="G238" s="185" t="s">
        <v>1617</v>
      </c>
      <c r="H238" s="185" t="s">
        <v>2082</v>
      </c>
      <c r="I238" s="185" t="s">
        <v>2468</v>
      </c>
    </row>
    <row r="239" spans="1:9" ht="28.5">
      <c r="A239" s="6">
        <f t="shared" si="9"/>
        <v>236</v>
      </c>
      <c r="B239" s="185" t="str">
        <f t="shared" si="10"/>
        <v>Outside of entrance for pedestrians + cars (Yes= -2, No= 0)</v>
      </c>
      <c r="C239" s="6">
        <f t="shared" si="11"/>
        <v>236</v>
      </c>
      <c r="D239" s="185" t="s">
        <v>405</v>
      </c>
      <c r="E239" s="185" t="s">
        <v>760</v>
      </c>
      <c r="F239" s="185" t="s">
        <v>1134</v>
      </c>
      <c r="G239" s="185" t="s">
        <v>1620</v>
      </c>
      <c r="H239" s="185" t="s">
        <v>2085</v>
      </c>
      <c r="I239" s="185" t="s">
        <v>2471</v>
      </c>
    </row>
    <row r="240" spans="1:9">
      <c r="A240" s="6">
        <f t="shared" si="9"/>
        <v>237</v>
      </c>
      <c r="B240" s="185" t="str">
        <f t="shared" si="10"/>
        <v>Poor quality of paint work</v>
      </c>
      <c r="C240" s="6">
        <f t="shared" si="11"/>
        <v>237</v>
      </c>
      <c r="D240" s="185" t="s">
        <v>406</v>
      </c>
      <c r="E240" s="185" t="s">
        <v>661</v>
      </c>
      <c r="F240" s="185" t="s">
        <v>1135</v>
      </c>
      <c r="G240" s="185" t="s">
        <v>1621</v>
      </c>
      <c r="H240" s="185" t="s">
        <v>2086</v>
      </c>
      <c r="I240" s="185" t="s">
        <v>2472</v>
      </c>
    </row>
    <row r="241" spans="1:9" ht="28.5">
      <c r="A241" s="6">
        <f t="shared" si="9"/>
        <v>238</v>
      </c>
      <c r="B241" s="185" t="str">
        <f t="shared" si="10"/>
        <v>Stairwells (Yes= -2, No= 0)</v>
      </c>
      <c r="C241" s="6">
        <f t="shared" si="11"/>
        <v>238</v>
      </c>
      <c r="D241" s="185" t="s">
        <v>399</v>
      </c>
      <c r="E241" s="185" t="s">
        <v>755</v>
      </c>
      <c r="F241" s="185" t="s">
        <v>1136</v>
      </c>
      <c r="G241" s="185" t="s">
        <v>1614</v>
      </c>
      <c r="H241" s="185" t="s">
        <v>2079</v>
      </c>
      <c r="I241" s="185" t="s">
        <v>2473</v>
      </c>
    </row>
    <row r="242" spans="1:9" ht="28.5">
      <c r="A242" s="6">
        <f t="shared" si="9"/>
        <v>239</v>
      </c>
      <c r="B242" s="185" t="str">
        <f t="shared" si="10"/>
        <v>Elevator (Yes= -2, No= 0)</v>
      </c>
      <c r="C242" s="6">
        <f t="shared" si="11"/>
        <v>239</v>
      </c>
      <c r="D242" s="185" t="s">
        <v>400</v>
      </c>
      <c r="E242" s="185" t="s">
        <v>756</v>
      </c>
      <c r="F242" s="185" t="s">
        <v>1127</v>
      </c>
      <c r="G242" s="185" t="s">
        <v>1615</v>
      </c>
      <c r="H242" s="185" t="s">
        <v>2080</v>
      </c>
      <c r="I242" s="185" t="s">
        <v>2466</v>
      </c>
    </row>
    <row r="243" spans="1:9" ht="28.5">
      <c r="A243" s="6">
        <f t="shared" si="9"/>
        <v>240</v>
      </c>
      <c r="B243" s="185" t="str">
        <f t="shared" si="10"/>
        <v>Parking area (Yes= -2, No= 0)</v>
      </c>
      <c r="C243" s="6">
        <f t="shared" si="11"/>
        <v>240</v>
      </c>
      <c r="D243" s="185" t="s">
        <v>402</v>
      </c>
      <c r="E243" s="185" t="s">
        <v>758</v>
      </c>
      <c r="F243" s="185" t="s">
        <v>1133</v>
      </c>
      <c r="G243" s="185" t="s">
        <v>1617</v>
      </c>
      <c r="H243" s="185" t="s">
        <v>2082</v>
      </c>
      <c r="I243" s="185" t="s">
        <v>2468</v>
      </c>
    </row>
    <row r="244" spans="1:9" ht="28.5">
      <c r="A244" s="6">
        <f t="shared" si="9"/>
        <v>241</v>
      </c>
      <c r="B244" s="185" t="str">
        <f t="shared" si="10"/>
        <v>Poor quality horizontal markings (Yes= -2, No= 0)</v>
      </c>
      <c r="C244" s="6">
        <f t="shared" si="11"/>
        <v>241</v>
      </c>
      <c r="D244" s="185" t="s">
        <v>407</v>
      </c>
      <c r="E244" s="185" t="s">
        <v>761</v>
      </c>
      <c r="F244" s="185" t="s">
        <v>1137</v>
      </c>
      <c r="G244" s="185" t="s">
        <v>1622</v>
      </c>
      <c r="H244" s="185" t="s">
        <v>2087</v>
      </c>
      <c r="I244" s="185" t="s">
        <v>2474</v>
      </c>
    </row>
    <row r="245" spans="1:9" ht="28.5">
      <c r="A245" s="6">
        <f t="shared" si="9"/>
        <v>242</v>
      </c>
      <c r="B245" s="185" t="str">
        <f t="shared" si="10"/>
        <v xml:space="preserve">Poor quality/lack of maintenance (pot holes ,damages) </v>
      </c>
      <c r="C245" s="6">
        <f t="shared" si="11"/>
        <v>242</v>
      </c>
      <c r="D245" s="185" t="s">
        <v>408</v>
      </c>
      <c r="E245" s="185" t="s">
        <v>662</v>
      </c>
      <c r="F245" s="185" t="s">
        <v>1138</v>
      </c>
      <c r="G245" s="185" t="s">
        <v>1623</v>
      </c>
      <c r="H245" s="185" t="s">
        <v>2088</v>
      </c>
      <c r="I245" s="185" t="s">
        <v>2475</v>
      </c>
    </row>
    <row r="246" spans="1:9" ht="28.5">
      <c r="A246" s="6">
        <f t="shared" si="9"/>
        <v>243</v>
      </c>
      <c r="B246" s="185" t="str">
        <f t="shared" si="10"/>
        <v>Floors (Yes= -2, No= 0)</v>
      </c>
      <c r="C246" s="6">
        <f t="shared" si="11"/>
        <v>243</v>
      </c>
      <c r="D246" s="185" t="s">
        <v>409</v>
      </c>
      <c r="E246" s="185" t="s">
        <v>758</v>
      </c>
      <c r="F246" s="185" t="s">
        <v>1139</v>
      </c>
      <c r="G246" s="185" t="s">
        <v>1624</v>
      </c>
      <c r="H246" s="185" t="s">
        <v>2089</v>
      </c>
      <c r="I246" s="185" t="s">
        <v>2476</v>
      </c>
    </row>
    <row r="247" spans="1:9" ht="28.5">
      <c r="A247" s="6">
        <f t="shared" si="9"/>
        <v>244</v>
      </c>
      <c r="B247" s="185" t="str">
        <f t="shared" si="10"/>
        <v>Walls (Yes= -2, No= 0)</v>
      </c>
      <c r="C247" s="6">
        <f t="shared" si="11"/>
        <v>244</v>
      </c>
      <c r="D247" s="185" t="s">
        <v>410</v>
      </c>
      <c r="E247" s="185" t="s">
        <v>762</v>
      </c>
      <c r="F247" s="185" t="s">
        <v>1140</v>
      </c>
      <c r="G247" s="185" t="s">
        <v>1625</v>
      </c>
      <c r="H247" s="185" t="s">
        <v>2090</v>
      </c>
      <c r="I247" s="185" t="s">
        <v>2477</v>
      </c>
    </row>
    <row r="248" spans="1:9" ht="28.5">
      <c r="A248" s="6">
        <f t="shared" ref="A248:A273" si="12">C248</f>
        <v>245</v>
      </c>
      <c r="B248" s="185" t="str">
        <f t="shared" si="10"/>
        <v>Evidence of standing water (Yes= -2, No= 0)</v>
      </c>
      <c r="C248" s="6">
        <f t="shared" si="11"/>
        <v>245</v>
      </c>
      <c r="D248" s="185" t="s">
        <v>411</v>
      </c>
      <c r="E248" s="185" t="s">
        <v>763</v>
      </c>
      <c r="F248" s="185" t="s">
        <v>1141</v>
      </c>
      <c r="G248" s="185" t="s">
        <v>1626</v>
      </c>
      <c r="H248" s="185" t="s">
        <v>2091</v>
      </c>
      <c r="I248" s="185" t="s">
        <v>2478</v>
      </c>
    </row>
    <row r="249" spans="1:9">
      <c r="A249" s="6">
        <f t="shared" si="12"/>
        <v>246</v>
      </c>
      <c r="B249" s="185" t="str">
        <f t="shared" si="10"/>
        <v>Evidence of bad smells</v>
      </c>
      <c r="C249" s="6">
        <f t="shared" si="11"/>
        <v>246</v>
      </c>
      <c r="D249" s="185" t="s">
        <v>412</v>
      </c>
      <c r="E249" s="185" t="s">
        <v>663</v>
      </c>
      <c r="F249" s="185" t="s">
        <v>1142</v>
      </c>
      <c r="G249" s="185" t="s">
        <v>1627</v>
      </c>
      <c r="H249" s="185" t="s">
        <v>2092</v>
      </c>
      <c r="I249" s="185" t="s">
        <v>2479</v>
      </c>
    </row>
    <row r="250" spans="1:9" ht="28.5">
      <c r="A250" s="6">
        <f t="shared" si="12"/>
        <v>247</v>
      </c>
      <c r="B250" s="185" t="str">
        <f t="shared" si="10"/>
        <v>Elevators (Yes= -2, No= 0)</v>
      </c>
      <c r="C250" s="6">
        <f t="shared" si="11"/>
        <v>247</v>
      </c>
      <c r="D250" s="185" t="s">
        <v>413</v>
      </c>
      <c r="E250" s="185" t="s">
        <v>756</v>
      </c>
      <c r="F250" s="185" t="s">
        <v>1127</v>
      </c>
      <c r="G250" s="185" t="s">
        <v>1615</v>
      </c>
      <c r="H250" s="185" t="s">
        <v>2080</v>
      </c>
      <c r="I250" s="185" t="s">
        <v>2480</v>
      </c>
    </row>
    <row r="251" spans="1:9" ht="28.5">
      <c r="A251" s="6">
        <f t="shared" si="12"/>
        <v>248</v>
      </c>
      <c r="B251" s="185" t="str">
        <f t="shared" si="10"/>
        <v>Stairwells (Yes= -2, No= 0)</v>
      </c>
      <c r="C251" s="6">
        <f t="shared" si="11"/>
        <v>248</v>
      </c>
      <c r="D251" s="185" t="s">
        <v>399</v>
      </c>
      <c r="E251" s="185" t="s">
        <v>755</v>
      </c>
      <c r="F251" s="185" t="s">
        <v>1126</v>
      </c>
      <c r="G251" s="185" t="s">
        <v>1614</v>
      </c>
      <c r="H251" s="185" t="s">
        <v>2079</v>
      </c>
      <c r="I251" s="185" t="s">
        <v>2473</v>
      </c>
    </row>
    <row r="252" spans="1:9" ht="28.5">
      <c r="A252" s="6">
        <f t="shared" si="12"/>
        <v>249</v>
      </c>
      <c r="B252" s="185" t="str">
        <f t="shared" si="10"/>
        <v>Parking deck (Yes= -2, No= 0)</v>
      </c>
      <c r="C252" s="6">
        <f t="shared" si="11"/>
        <v>249</v>
      </c>
      <c r="D252" s="185" t="s">
        <v>414</v>
      </c>
      <c r="E252" s="185" t="s">
        <v>758</v>
      </c>
      <c r="F252" s="185" t="s">
        <v>1143</v>
      </c>
      <c r="G252" s="185" t="s">
        <v>1617</v>
      </c>
      <c r="H252" s="185" t="s">
        <v>2093</v>
      </c>
      <c r="I252" s="185" t="s">
        <v>2481</v>
      </c>
    </row>
    <row r="253" spans="1:9" ht="28.5">
      <c r="A253" s="6">
        <f t="shared" si="12"/>
        <v>250</v>
      </c>
      <c r="B253" s="185" t="str">
        <f t="shared" si="10"/>
        <v>Over 15% of parking spaces in cul-de-sac without occupancy indication. (Yes= -5, No=0)</v>
      </c>
      <c r="C253" s="6">
        <f t="shared" si="11"/>
        <v>250</v>
      </c>
      <c r="D253" s="185" t="s">
        <v>415</v>
      </c>
      <c r="E253" s="185" t="s">
        <v>764</v>
      </c>
      <c r="F253" s="185" t="s">
        <v>1144</v>
      </c>
      <c r="G253" s="185" t="s">
        <v>1628</v>
      </c>
      <c r="H253" s="185" t="s">
        <v>2094</v>
      </c>
      <c r="I253" s="185" t="s">
        <v>2482</v>
      </c>
    </row>
    <row r="254" spans="1:9" ht="42.75">
      <c r="A254" s="6">
        <f t="shared" ref="A254:A256" si="13">C254</f>
        <v>251</v>
      </c>
      <c r="B254" s="185" t="str">
        <f t="shared" si="10"/>
        <v>Various points of criticism (to explain!)
[E.g. hollow sound, squeaking tyres, unintended visitors, etc.] up to -10</v>
      </c>
      <c r="C254" s="6">
        <f t="shared" si="11"/>
        <v>251</v>
      </c>
      <c r="D254" s="185" t="s">
        <v>107</v>
      </c>
      <c r="E254" s="185" t="s">
        <v>765</v>
      </c>
      <c r="F254" s="185" t="s">
        <v>1145</v>
      </c>
      <c r="G254" s="185" t="s">
        <v>1693</v>
      </c>
      <c r="H254" s="185" t="s">
        <v>2095</v>
      </c>
      <c r="I254" s="185" t="s">
        <v>2483</v>
      </c>
    </row>
    <row r="255" spans="1:9">
      <c r="A255" s="6">
        <f t="shared" si="13"/>
        <v>252</v>
      </c>
      <c r="B255" s="185" t="str">
        <f t="shared" si="10"/>
        <v>Penalty for Mandatory Condition 1.4 Applies</v>
      </c>
      <c r="C255" s="6">
        <f t="shared" si="11"/>
        <v>252</v>
      </c>
      <c r="D255" s="185" t="s">
        <v>1803</v>
      </c>
      <c r="E255" s="185" t="s">
        <v>2773</v>
      </c>
      <c r="F255" s="206"/>
      <c r="G255" s="185" t="s">
        <v>1828</v>
      </c>
      <c r="H255" s="185" t="s">
        <v>2096</v>
      </c>
      <c r="I255" s="309" t="s">
        <v>2538</v>
      </c>
    </row>
    <row r="256" spans="1:9">
      <c r="A256" s="6">
        <f t="shared" si="13"/>
        <v>253</v>
      </c>
      <c r="B256" s="185" t="str">
        <f t="shared" si="10"/>
        <v>Bonus Points</v>
      </c>
      <c r="C256" s="6">
        <f t="shared" si="11"/>
        <v>253</v>
      </c>
      <c r="D256" s="185" t="s">
        <v>186</v>
      </c>
      <c r="E256" s="185" t="s">
        <v>664</v>
      </c>
      <c r="F256" s="185" t="s">
        <v>1146</v>
      </c>
      <c r="G256" s="185" t="s">
        <v>1629</v>
      </c>
      <c r="H256" s="185" t="s">
        <v>2097</v>
      </c>
      <c r="I256" s="185" t="s">
        <v>2484</v>
      </c>
    </row>
    <row r="257" spans="1:9">
      <c r="A257" s="6">
        <f t="shared" si="12"/>
        <v>254</v>
      </c>
      <c r="B257" s="185" t="str">
        <f t="shared" si="10"/>
        <v>Extra provisions in car park</v>
      </c>
      <c r="C257" s="6">
        <f t="shared" si="11"/>
        <v>254</v>
      </c>
      <c r="D257" s="185" t="s">
        <v>416</v>
      </c>
      <c r="E257" s="185" t="s">
        <v>665</v>
      </c>
      <c r="F257" s="185" t="s">
        <v>1147</v>
      </c>
      <c r="G257" s="185" t="s">
        <v>1630</v>
      </c>
      <c r="H257" s="185" t="s">
        <v>2098</v>
      </c>
      <c r="I257" s="185" t="s">
        <v>2539</v>
      </c>
    </row>
    <row r="258" spans="1:9" ht="28.5">
      <c r="A258" s="6">
        <f t="shared" si="12"/>
        <v>255</v>
      </c>
      <c r="B258" s="185" t="str">
        <f t="shared" si="10"/>
        <v>Special motorcycle area (Yes= 1, No= 0)</v>
      </c>
      <c r="C258" s="6">
        <f t="shared" si="11"/>
        <v>255</v>
      </c>
      <c r="D258" s="185" t="s">
        <v>417</v>
      </c>
      <c r="E258" s="185" t="s">
        <v>766</v>
      </c>
      <c r="F258" s="185" t="s">
        <v>1148</v>
      </c>
      <c r="G258" s="185" t="s">
        <v>1631</v>
      </c>
      <c r="H258" s="185" t="s">
        <v>2099</v>
      </c>
      <c r="I258" s="185" t="s">
        <v>2485</v>
      </c>
    </row>
    <row r="259" spans="1:9" ht="28.5">
      <c r="A259" s="6">
        <f t="shared" si="12"/>
        <v>256</v>
      </c>
      <c r="B259" s="185" t="str">
        <f t="shared" si="10"/>
        <v>Lockers for customers’ use (Yes= 1, No= 0)</v>
      </c>
      <c r="C259" s="6">
        <f t="shared" si="11"/>
        <v>256</v>
      </c>
      <c r="D259" s="185" t="s">
        <v>418</v>
      </c>
      <c r="E259" s="185" t="s">
        <v>767</v>
      </c>
      <c r="F259" s="185" t="s">
        <v>1149</v>
      </c>
      <c r="G259" s="185" t="s">
        <v>1632</v>
      </c>
      <c r="H259" s="185" t="s">
        <v>2100</v>
      </c>
      <c r="I259" s="185" t="s">
        <v>2486</v>
      </c>
    </row>
    <row r="260" spans="1:9" ht="28.5">
      <c r="A260" s="6">
        <f t="shared" si="12"/>
        <v>257</v>
      </c>
      <c r="B260" s="185" t="str">
        <f t="shared" ref="B260:B273" si="14">IF(ISBLANK(VLOOKUP(A260,$C$4:$V$9989,1+$A$1)),D260,VLOOKUP(A260,$C$4:$V$9989,1+$A$1))</f>
        <v>Other aids (Yes= 1, No= 0)</v>
      </c>
      <c r="C260" s="6">
        <f t="shared" si="11"/>
        <v>257</v>
      </c>
      <c r="D260" s="185" t="s">
        <v>419</v>
      </c>
      <c r="E260" s="185" t="s">
        <v>768</v>
      </c>
      <c r="F260" s="185" t="s">
        <v>1150</v>
      </c>
      <c r="G260" s="185" t="s">
        <v>1633</v>
      </c>
      <c r="H260" s="185" t="s">
        <v>2101</v>
      </c>
      <c r="I260" s="185" t="s">
        <v>2487</v>
      </c>
    </row>
    <row r="261" spans="1:9" ht="28.5">
      <c r="A261" s="6">
        <f t="shared" si="12"/>
        <v>258</v>
      </c>
      <c r="B261" s="185" t="str">
        <f t="shared" si="14"/>
        <v>Bicycle rent (Yes= 1, No= 0)</v>
      </c>
      <c r="C261" s="6">
        <f t="shared" si="11"/>
        <v>258</v>
      </c>
      <c r="D261" s="185" t="s">
        <v>420</v>
      </c>
      <c r="E261" s="185" t="s">
        <v>769</v>
      </c>
      <c r="F261" s="185" t="s">
        <v>1151</v>
      </c>
      <c r="G261" s="185" t="s">
        <v>1634</v>
      </c>
      <c r="H261" s="185" t="s">
        <v>2102</v>
      </c>
      <c r="I261" s="185" t="s">
        <v>2488</v>
      </c>
    </row>
    <row r="262" spans="1:9" ht="28.5">
      <c r="A262" s="6">
        <f t="shared" si="12"/>
        <v>259</v>
      </c>
      <c r="B262" s="185" t="str">
        <f t="shared" si="14"/>
        <v>Other Driver Assistance (Yes= 1, No= 0)</v>
      </c>
      <c r="C262" s="6">
        <f t="shared" si="11"/>
        <v>259</v>
      </c>
      <c r="D262" s="185" t="s">
        <v>421</v>
      </c>
      <c r="E262" s="185" t="s">
        <v>770</v>
      </c>
      <c r="F262" s="185" t="s">
        <v>1152</v>
      </c>
      <c r="G262" s="185" t="s">
        <v>1635</v>
      </c>
      <c r="H262" s="185" t="s">
        <v>2103</v>
      </c>
      <c r="I262" s="291" t="s">
        <v>2489</v>
      </c>
    </row>
    <row r="263" spans="1:9" ht="28.5">
      <c r="A263" s="6">
        <f t="shared" si="12"/>
        <v>260</v>
      </c>
      <c r="B263" s="185" t="str">
        <f t="shared" si="14"/>
        <v>Vending Machines (Yes= 1, No= 0)</v>
      </c>
      <c r="C263" s="6">
        <f t="shared" si="11"/>
        <v>260</v>
      </c>
      <c r="D263" s="185" t="s">
        <v>422</v>
      </c>
      <c r="E263" s="185" t="s">
        <v>771</v>
      </c>
      <c r="F263" s="185" t="s">
        <v>1153</v>
      </c>
      <c r="G263" s="185" t="s">
        <v>1636</v>
      </c>
      <c r="H263" s="185" t="s">
        <v>2104</v>
      </c>
      <c r="I263" s="185" t="s">
        <v>2540</v>
      </c>
    </row>
    <row r="264" spans="1:9" ht="28.5">
      <c r="A264" s="6">
        <f t="shared" si="12"/>
        <v>261</v>
      </c>
      <c r="B264" s="185" t="str">
        <f t="shared" si="14"/>
        <v>Heart Defibrillator (Yes= 1, No= 0)</v>
      </c>
      <c r="C264" s="6">
        <f t="shared" si="11"/>
        <v>261</v>
      </c>
      <c r="D264" s="185" t="s">
        <v>423</v>
      </c>
      <c r="E264" s="185" t="s">
        <v>772</v>
      </c>
      <c r="F264" s="185" t="s">
        <v>1154</v>
      </c>
      <c r="G264" s="185" t="s">
        <v>1637</v>
      </c>
      <c r="H264" s="185" t="s">
        <v>2105</v>
      </c>
      <c r="I264" s="185" t="s">
        <v>2490</v>
      </c>
    </row>
    <row r="265" spans="1:9" ht="28.5">
      <c r="A265" s="6">
        <f t="shared" si="12"/>
        <v>262</v>
      </c>
      <c r="B265" s="185" t="str">
        <f t="shared" si="14"/>
        <v>First aid trained staff (Yes= 1, No= 0)</v>
      </c>
      <c r="C265" s="6">
        <f t="shared" si="11"/>
        <v>262</v>
      </c>
      <c r="D265" s="185" t="s">
        <v>424</v>
      </c>
      <c r="E265" s="185" t="s">
        <v>773</v>
      </c>
      <c r="F265" s="185" t="s">
        <v>1155</v>
      </c>
      <c r="G265" s="185" t="s">
        <v>1638</v>
      </c>
      <c r="H265" s="185" t="s">
        <v>2106</v>
      </c>
      <c r="I265" s="185" t="s">
        <v>2491</v>
      </c>
    </row>
    <row r="266" spans="1:9" ht="28.5">
      <c r="A266" s="6">
        <f t="shared" si="12"/>
        <v>263</v>
      </c>
      <c r="B266" s="185" t="str">
        <f t="shared" si="14"/>
        <v>Real time traffic data (Yes= 1, No= 0)</v>
      </c>
      <c r="C266" s="6">
        <f t="shared" ref="C266:C273" si="15">C265+1</f>
        <v>263</v>
      </c>
      <c r="D266" s="185" t="s">
        <v>425</v>
      </c>
      <c r="E266" s="185" t="s">
        <v>774</v>
      </c>
      <c r="F266" s="185" t="s">
        <v>1156</v>
      </c>
      <c r="G266" s="185" t="s">
        <v>1639</v>
      </c>
      <c r="H266" s="185" t="s">
        <v>2107</v>
      </c>
      <c r="I266" s="185" t="s">
        <v>2492</v>
      </c>
    </row>
    <row r="267" spans="1:9" ht="28.5">
      <c r="A267" s="6">
        <f t="shared" si="12"/>
        <v>264</v>
      </c>
      <c r="B267" s="185" t="str">
        <f t="shared" si="14"/>
        <v>Other real time accessible information (e.g. local events) (Yes= 1, No= 0)</v>
      </c>
      <c r="C267" s="6">
        <f t="shared" si="15"/>
        <v>264</v>
      </c>
      <c r="D267" s="185" t="s">
        <v>426</v>
      </c>
      <c r="E267" s="185" t="s">
        <v>775</v>
      </c>
      <c r="F267" s="185" t="s">
        <v>1157</v>
      </c>
      <c r="G267" s="185" t="s">
        <v>1640</v>
      </c>
      <c r="H267" s="185" t="s">
        <v>2108</v>
      </c>
      <c r="I267" s="185" t="s">
        <v>2493</v>
      </c>
    </row>
    <row r="268" spans="1:9" ht="42.75">
      <c r="A268" s="6">
        <f t="shared" si="12"/>
        <v>265</v>
      </c>
      <c r="B268" s="185" t="str">
        <f t="shared" si="14"/>
        <v>Measures to avoid traffic queues at peak hours (i.e. tidal lane at car entry/exit) - (Yes= 3, No= 0)</v>
      </c>
      <c r="C268" s="6">
        <f t="shared" si="15"/>
        <v>265</v>
      </c>
      <c r="D268" s="185" t="s">
        <v>427</v>
      </c>
      <c r="E268" s="185" t="s">
        <v>776</v>
      </c>
      <c r="F268" s="185" t="s">
        <v>1158</v>
      </c>
      <c r="G268" s="185" t="s">
        <v>1641</v>
      </c>
      <c r="H268" s="185" t="s">
        <v>2109</v>
      </c>
      <c r="I268" s="291" t="s">
        <v>2494</v>
      </c>
    </row>
    <row r="269" spans="1:9" ht="42.75">
      <c r="A269" s="6">
        <f t="shared" si="12"/>
        <v>266</v>
      </c>
      <c r="B269" s="185" t="str">
        <f t="shared" si="14"/>
        <v>Turn around possibility for cars before height barrier or full sign to prevent reversing (Yes= 3, No= 0)</v>
      </c>
      <c r="C269" s="6">
        <f t="shared" si="15"/>
        <v>266</v>
      </c>
      <c r="D269" s="185" t="s">
        <v>428</v>
      </c>
      <c r="E269" s="185" t="s">
        <v>777</v>
      </c>
      <c r="F269" s="185" t="s">
        <v>1159</v>
      </c>
      <c r="G269" s="185" t="s">
        <v>1642</v>
      </c>
      <c r="H269" s="185" t="s">
        <v>2110</v>
      </c>
      <c r="I269" s="185" t="s">
        <v>2541</v>
      </c>
    </row>
    <row r="270" spans="1:9" ht="28.5">
      <c r="A270" s="6">
        <f t="shared" si="12"/>
        <v>267</v>
      </c>
      <c r="B270" s="185" t="str">
        <f t="shared" si="14"/>
        <v>Customer service desk (Yes= 1, No= 0)</v>
      </c>
      <c r="C270" s="6">
        <f t="shared" si="15"/>
        <v>267</v>
      </c>
      <c r="D270" s="185" t="s">
        <v>429</v>
      </c>
      <c r="E270" s="185" t="s">
        <v>778</v>
      </c>
      <c r="F270" s="185" t="s">
        <v>1160</v>
      </c>
      <c r="G270" s="185" t="s">
        <v>1643</v>
      </c>
      <c r="H270" s="185" t="s">
        <v>2111</v>
      </c>
      <c r="I270" s="185" t="s">
        <v>2495</v>
      </c>
    </row>
    <row r="271" spans="1:9" ht="57">
      <c r="A271" s="6">
        <f t="shared" si="12"/>
        <v>268</v>
      </c>
      <c r="B271" s="185" t="str">
        <f t="shared" si="14"/>
        <v>Escalators and/or travellators
(To/from all levels =5, To/from some levels =3, No Escalators or Travellators = 0)</v>
      </c>
      <c r="C271" s="6">
        <f t="shared" si="15"/>
        <v>268</v>
      </c>
      <c r="D271" s="185" t="s">
        <v>264</v>
      </c>
      <c r="E271" s="185" t="s">
        <v>779</v>
      </c>
      <c r="F271" s="185" t="s">
        <v>1162</v>
      </c>
      <c r="G271" s="185" t="s">
        <v>1694</v>
      </c>
      <c r="H271" s="185" t="s">
        <v>2112</v>
      </c>
      <c r="I271" s="291" t="s">
        <v>2496</v>
      </c>
    </row>
    <row r="272" spans="1:9" ht="42.75">
      <c r="A272" s="6">
        <f t="shared" si="12"/>
        <v>269</v>
      </c>
      <c r="B272" s="185" t="str">
        <f t="shared" si="14"/>
        <v>Localisation of parked cars by ticket or license plate
(Yes= 1, No= 0)</v>
      </c>
      <c r="C272" s="6">
        <f t="shared" si="15"/>
        <v>269</v>
      </c>
      <c r="D272" s="185" t="s">
        <v>335</v>
      </c>
      <c r="E272" s="185" t="s">
        <v>780</v>
      </c>
      <c r="F272" s="185" t="s">
        <v>1163</v>
      </c>
      <c r="G272" s="185" t="s">
        <v>1695</v>
      </c>
      <c r="H272" s="185" t="s">
        <v>2113</v>
      </c>
      <c r="I272" s="185" t="s">
        <v>2497</v>
      </c>
    </row>
    <row r="273" spans="1:9" ht="57">
      <c r="A273" s="6">
        <f t="shared" si="12"/>
        <v>270</v>
      </c>
      <c r="B273" s="185" t="str">
        <f t="shared" si="14"/>
        <v>Other positive points e.g. extra services, friendly staff, tiled walls/floors, good fit of the car park in cityscape etc up to ten additional bonus points. To be explicitly identified.</v>
      </c>
      <c r="C273" s="6">
        <f t="shared" si="15"/>
        <v>270</v>
      </c>
      <c r="D273" s="185" t="s">
        <v>537</v>
      </c>
      <c r="E273" s="185" t="s">
        <v>781</v>
      </c>
      <c r="F273" s="185" t="s">
        <v>1161</v>
      </c>
      <c r="G273" s="186" t="s">
        <v>1644</v>
      </c>
      <c r="H273" s="185" t="s">
        <v>2114</v>
      </c>
      <c r="I273" s="185" t="s">
        <v>2498</v>
      </c>
    </row>
    <row r="274" spans="1:9">
      <c r="B274" s="92"/>
    </row>
    <row r="275" spans="1:9">
      <c r="B275" s="92"/>
    </row>
    <row r="276" spans="1:9">
      <c r="B276" s="92"/>
    </row>
    <row r="277" spans="1:9">
      <c r="B277" s="92"/>
    </row>
    <row r="278" spans="1:9">
      <c r="B278" s="92"/>
    </row>
    <row r="279" spans="1:9">
      <c r="B279" s="92"/>
    </row>
    <row r="280" spans="1:9">
      <c r="B280" s="92"/>
    </row>
    <row r="281" spans="1:9">
      <c r="B281" s="92"/>
    </row>
    <row r="282" spans="1:9">
      <c r="B282" s="92"/>
    </row>
    <row r="283" spans="1:9">
      <c r="B283" s="92"/>
    </row>
    <row r="284" spans="1:9">
      <c r="B284" s="92"/>
    </row>
    <row r="285" spans="1:9">
      <c r="B285" s="92"/>
    </row>
    <row r="286" spans="1:9">
      <c r="B286" s="92"/>
    </row>
    <row r="287" spans="1:9">
      <c r="B287" s="92"/>
    </row>
    <row r="288" spans="1:9">
      <c r="B288" s="92"/>
    </row>
    <row r="289" spans="2:2">
      <c r="B289" s="92"/>
    </row>
    <row r="290" spans="2:2">
      <c r="B290" s="92"/>
    </row>
    <row r="291" spans="2:2">
      <c r="B291" s="92"/>
    </row>
    <row r="292" spans="2:2">
      <c r="B292" s="92"/>
    </row>
    <row r="293" spans="2:2">
      <c r="B293" s="92"/>
    </row>
    <row r="294" spans="2:2">
      <c r="B294" s="92"/>
    </row>
    <row r="295" spans="2:2">
      <c r="B295" s="92"/>
    </row>
    <row r="296" spans="2:2">
      <c r="B296" s="92"/>
    </row>
    <row r="297" spans="2:2">
      <c r="B297" s="92"/>
    </row>
    <row r="298" spans="2:2">
      <c r="B298" s="92"/>
    </row>
    <row r="299" spans="2:2">
      <c r="B299" s="92"/>
    </row>
    <row r="300" spans="2:2">
      <c r="B300" s="92"/>
    </row>
    <row r="301" spans="2:2">
      <c r="B301" s="92"/>
    </row>
    <row r="302" spans="2:2">
      <c r="B302" s="92"/>
    </row>
    <row r="303" spans="2:2">
      <c r="B303" s="92"/>
    </row>
    <row r="304" spans="2:2">
      <c r="B304" s="92"/>
    </row>
    <row r="305" spans="2:2">
      <c r="B305" s="92"/>
    </row>
    <row r="306" spans="2:2">
      <c r="B306" s="92"/>
    </row>
    <row r="307" spans="2:2">
      <c r="B307" s="92"/>
    </row>
    <row r="308" spans="2:2">
      <c r="B308" s="92"/>
    </row>
    <row r="309" spans="2:2">
      <c r="B309" s="92"/>
    </row>
    <row r="310" spans="2:2">
      <c r="B310" s="92"/>
    </row>
    <row r="311" spans="2:2">
      <c r="B311" s="92"/>
    </row>
    <row r="312" spans="2:2">
      <c r="B312" s="92"/>
    </row>
    <row r="313" spans="2:2">
      <c r="B313" s="92"/>
    </row>
    <row r="314" spans="2:2">
      <c r="B314" s="92"/>
    </row>
    <row r="315" spans="2:2">
      <c r="B315" s="92"/>
    </row>
    <row r="316" spans="2:2">
      <c r="B316" s="92"/>
    </row>
    <row r="317" spans="2:2">
      <c r="B317" s="92"/>
    </row>
    <row r="318" spans="2:2">
      <c r="B318" s="92"/>
    </row>
    <row r="319" spans="2:2">
      <c r="B319" s="92"/>
    </row>
    <row r="320" spans="2:2">
      <c r="B320" s="92"/>
    </row>
    <row r="321" spans="2:2">
      <c r="B321" s="92"/>
    </row>
    <row r="322" spans="2:2">
      <c r="B322" s="92"/>
    </row>
    <row r="323" spans="2:2">
      <c r="B323" s="92"/>
    </row>
    <row r="324" spans="2:2">
      <c r="B324" s="92"/>
    </row>
    <row r="325" spans="2:2">
      <c r="B325" s="92"/>
    </row>
    <row r="326" spans="2:2">
      <c r="B326" s="92"/>
    </row>
    <row r="327" spans="2:2">
      <c r="B327" s="92"/>
    </row>
    <row r="328" spans="2:2">
      <c r="B328" s="92"/>
    </row>
    <row r="329" spans="2:2">
      <c r="B329" s="92"/>
    </row>
    <row r="330" spans="2:2">
      <c r="B330" s="92"/>
    </row>
    <row r="331" spans="2:2">
      <c r="B331" s="92"/>
    </row>
    <row r="332" spans="2:2">
      <c r="B332" s="92"/>
    </row>
    <row r="333" spans="2:2">
      <c r="B333" s="92"/>
    </row>
    <row r="334" spans="2:2">
      <c r="B334" s="92"/>
    </row>
    <row r="335" spans="2:2">
      <c r="B335" s="92"/>
    </row>
    <row r="336" spans="2:2">
      <c r="B336" s="92"/>
    </row>
    <row r="337" spans="2:2">
      <c r="B337" s="92"/>
    </row>
    <row r="338" spans="2:2">
      <c r="B338" s="92"/>
    </row>
    <row r="339" spans="2:2">
      <c r="B339" s="92"/>
    </row>
    <row r="340" spans="2:2">
      <c r="B340" s="92"/>
    </row>
    <row r="341" spans="2:2">
      <c r="B341" s="92"/>
    </row>
    <row r="342" spans="2:2">
      <c r="B342" s="92"/>
    </row>
    <row r="343" spans="2:2">
      <c r="B343" s="92"/>
    </row>
    <row r="344" spans="2:2">
      <c r="B344" s="92"/>
    </row>
    <row r="345" spans="2:2">
      <c r="B345" s="92"/>
    </row>
    <row r="346" spans="2:2">
      <c r="B346" s="92"/>
    </row>
    <row r="347" spans="2:2">
      <c r="B347" s="92"/>
    </row>
    <row r="348" spans="2:2">
      <c r="B348" s="92"/>
    </row>
    <row r="349" spans="2:2">
      <c r="B349" s="92"/>
    </row>
    <row r="350" spans="2:2">
      <c r="B350" s="92"/>
    </row>
    <row r="351" spans="2:2">
      <c r="B351" s="92"/>
    </row>
    <row r="352" spans="2:2">
      <c r="B352" s="92"/>
    </row>
    <row r="353" spans="2:2">
      <c r="B353" s="92"/>
    </row>
    <row r="354" spans="2:2">
      <c r="B354" s="92"/>
    </row>
    <row r="355" spans="2:2">
      <c r="B355" s="92"/>
    </row>
    <row r="356" spans="2:2">
      <c r="B356" s="92"/>
    </row>
    <row r="357" spans="2:2">
      <c r="B357" s="92"/>
    </row>
    <row r="358" spans="2:2">
      <c r="B358" s="92"/>
    </row>
    <row r="359" spans="2:2">
      <c r="B359" s="92"/>
    </row>
    <row r="360" spans="2:2">
      <c r="B360" s="92"/>
    </row>
    <row r="361" spans="2:2">
      <c r="B361" s="92"/>
    </row>
    <row r="362" spans="2:2">
      <c r="B362" s="92"/>
    </row>
    <row r="363" spans="2:2">
      <c r="B363" s="92"/>
    </row>
    <row r="364" spans="2:2">
      <c r="B364" s="92"/>
    </row>
    <row r="365" spans="2:2">
      <c r="B365" s="92"/>
    </row>
    <row r="366" spans="2:2">
      <c r="B366" s="92"/>
    </row>
    <row r="367" spans="2:2">
      <c r="B367" s="92"/>
    </row>
    <row r="368" spans="2:2">
      <c r="B368" s="92"/>
    </row>
    <row r="369" spans="2:2">
      <c r="B369" s="92"/>
    </row>
    <row r="370" spans="2:2">
      <c r="B370" s="92"/>
    </row>
    <row r="371" spans="2:2">
      <c r="B371" s="92"/>
    </row>
    <row r="372" spans="2:2">
      <c r="B372" s="92"/>
    </row>
    <row r="373" spans="2:2">
      <c r="B373" s="92"/>
    </row>
    <row r="374" spans="2:2">
      <c r="B374" s="92"/>
    </row>
    <row r="375" spans="2:2">
      <c r="B375" s="92"/>
    </row>
    <row r="376" spans="2:2">
      <c r="B376" s="92"/>
    </row>
    <row r="377" spans="2:2">
      <c r="B377" s="92"/>
    </row>
    <row r="378" spans="2:2">
      <c r="B378" s="92"/>
    </row>
    <row r="379" spans="2:2">
      <c r="B379" s="92"/>
    </row>
    <row r="380" spans="2:2">
      <c r="B380" s="92"/>
    </row>
    <row r="381" spans="2:2">
      <c r="B381" s="92"/>
    </row>
    <row r="382" spans="2:2">
      <c r="B382" s="92"/>
    </row>
    <row r="383" spans="2:2">
      <c r="B383" s="92"/>
    </row>
    <row r="384" spans="2:2">
      <c r="B384" s="92"/>
    </row>
    <row r="385" spans="2:2">
      <c r="B385" s="92"/>
    </row>
    <row r="386" spans="2:2">
      <c r="B386" s="92"/>
    </row>
    <row r="387" spans="2:2">
      <c r="B387" s="92"/>
    </row>
    <row r="388" spans="2:2">
      <c r="B388" s="92"/>
    </row>
    <row r="389" spans="2:2">
      <c r="B389" s="92"/>
    </row>
    <row r="390" spans="2:2">
      <c r="B390" s="92"/>
    </row>
    <row r="391" spans="2:2">
      <c r="B391" s="92"/>
    </row>
    <row r="392" spans="2:2">
      <c r="B392" s="92"/>
    </row>
    <row r="393" spans="2:2">
      <c r="B393" s="92"/>
    </row>
    <row r="394" spans="2:2">
      <c r="B394" s="92"/>
    </row>
    <row r="395" spans="2:2">
      <c r="B395" s="92"/>
    </row>
    <row r="396" spans="2:2">
      <c r="B396" s="92"/>
    </row>
    <row r="397" spans="2:2">
      <c r="B397" s="92"/>
    </row>
    <row r="398" spans="2:2">
      <c r="B398" s="92"/>
    </row>
    <row r="399" spans="2:2">
      <c r="B399" s="92"/>
    </row>
    <row r="400" spans="2:2">
      <c r="B400" s="92"/>
    </row>
    <row r="401" spans="2:2">
      <c r="B401" s="92"/>
    </row>
    <row r="402" spans="2:2">
      <c r="B402" s="92"/>
    </row>
    <row r="403" spans="2:2">
      <c r="B403" s="92"/>
    </row>
    <row r="404" spans="2:2">
      <c r="B404" s="92"/>
    </row>
    <row r="405" spans="2:2">
      <c r="B405" s="92"/>
    </row>
    <row r="406" spans="2:2">
      <c r="B406" s="92"/>
    </row>
    <row r="407" spans="2:2">
      <c r="B407" s="92"/>
    </row>
    <row r="408" spans="2:2">
      <c r="B408" s="92"/>
    </row>
    <row r="409" spans="2:2">
      <c r="B409" s="92"/>
    </row>
    <row r="410" spans="2:2">
      <c r="B410" s="92"/>
    </row>
    <row r="411" spans="2:2">
      <c r="B411" s="92"/>
    </row>
    <row r="412" spans="2:2">
      <c r="B412" s="92"/>
    </row>
    <row r="413" spans="2:2">
      <c r="B413" s="92"/>
    </row>
    <row r="414" spans="2:2">
      <c r="B414" s="92"/>
    </row>
    <row r="415" spans="2:2">
      <c r="B415" s="92"/>
    </row>
    <row r="416" spans="2:2">
      <c r="B416" s="92"/>
    </row>
    <row r="417" spans="2:2">
      <c r="B417" s="92"/>
    </row>
    <row r="418" spans="2:2">
      <c r="B418" s="92"/>
    </row>
    <row r="419" spans="2:2">
      <c r="B419" s="92"/>
    </row>
    <row r="420" spans="2:2">
      <c r="B420" s="92"/>
    </row>
    <row r="421" spans="2:2">
      <c r="B421" s="92"/>
    </row>
    <row r="422" spans="2:2">
      <c r="B422" s="92"/>
    </row>
    <row r="423" spans="2:2">
      <c r="B423" s="92"/>
    </row>
    <row r="424" spans="2:2">
      <c r="B424" s="92"/>
    </row>
    <row r="425" spans="2:2">
      <c r="B425" s="92"/>
    </row>
    <row r="426" spans="2:2">
      <c r="B426" s="92"/>
    </row>
    <row r="427" spans="2:2">
      <c r="B427" s="92"/>
    </row>
    <row r="428" spans="2:2">
      <c r="B428" s="92"/>
    </row>
    <row r="429" spans="2:2">
      <c r="B429" s="92"/>
    </row>
    <row r="430" spans="2:2">
      <c r="B430" s="92"/>
    </row>
    <row r="431" spans="2:2">
      <c r="B431" s="92"/>
    </row>
    <row r="432" spans="2:2">
      <c r="B432" s="92"/>
    </row>
    <row r="433" spans="2:2">
      <c r="B433" s="92"/>
    </row>
    <row r="434" spans="2:2">
      <c r="B434" s="92"/>
    </row>
    <row r="435" spans="2:2">
      <c r="B435" s="92"/>
    </row>
    <row r="436" spans="2:2">
      <c r="B436" s="92"/>
    </row>
    <row r="437" spans="2:2">
      <c r="B437" s="92"/>
    </row>
    <row r="438" spans="2:2">
      <c r="B438" s="92"/>
    </row>
    <row r="439" spans="2:2">
      <c r="B439" s="92"/>
    </row>
    <row r="440" spans="2:2">
      <c r="B440" s="92"/>
    </row>
    <row r="441" spans="2:2">
      <c r="B441" s="92"/>
    </row>
    <row r="442" spans="2:2">
      <c r="B442" s="92"/>
    </row>
    <row r="443" spans="2:2">
      <c r="B443" s="92"/>
    </row>
    <row r="444" spans="2:2">
      <c r="B444" s="92"/>
    </row>
    <row r="445" spans="2:2">
      <c r="B445" s="92"/>
    </row>
    <row r="446" spans="2:2">
      <c r="B446" s="92"/>
    </row>
    <row r="447" spans="2:2">
      <c r="B447" s="92"/>
    </row>
    <row r="448" spans="2:2">
      <c r="B448" s="92"/>
    </row>
    <row r="449" spans="2:2">
      <c r="B449" s="92"/>
    </row>
    <row r="450" spans="2:2">
      <c r="B450" s="92"/>
    </row>
    <row r="451" spans="2:2">
      <c r="B451" s="92"/>
    </row>
    <row r="452" spans="2:2">
      <c r="B452" s="92"/>
    </row>
    <row r="453" spans="2:2">
      <c r="B453" s="92"/>
    </row>
    <row r="454" spans="2:2">
      <c r="B454" s="92"/>
    </row>
    <row r="455" spans="2:2">
      <c r="B455" s="92"/>
    </row>
    <row r="456" spans="2:2">
      <c r="B456" s="92"/>
    </row>
    <row r="457" spans="2:2">
      <c r="B457" s="92"/>
    </row>
    <row r="458" spans="2:2">
      <c r="B458" s="92"/>
    </row>
    <row r="459" spans="2:2">
      <c r="B459" s="92"/>
    </row>
    <row r="460" spans="2:2">
      <c r="B460" s="92"/>
    </row>
    <row r="461" spans="2:2">
      <c r="B461" s="92"/>
    </row>
    <row r="462" spans="2:2">
      <c r="B462" s="92"/>
    </row>
    <row r="463" spans="2:2">
      <c r="B463" s="92"/>
    </row>
    <row r="464" spans="2:2">
      <c r="B464" s="92"/>
    </row>
    <row r="465" spans="2:2">
      <c r="B465" s="92"/>
    </row>
    <row r="466" spans="2:2">
      <c r="B466" s="92"/>
    </row>
    <row r="467" spans="2:2">
      <c r="B467" s="92"/>
    </row>
    <row r="468" spans="2:2">
      <c r="B468" s="92"/>
    </row>
    <row r="469" spans="2:2">
      <c r="B469" s="92"/>
    </row>
    <row r="470" spans="2:2">
      <c r="B470" s="92"/>
    </row>
    <row r="471" spans="2:2">
      <c r="B471" s="92"/>
    </row>
    <row r="472" spans="2:2">
      <c r="B472" s="92"/>
    </row>
    <row r="473" spans="2:2">
      <c r="B473" s="92"/>
    </row>
    <row r="474" spans="2:2">
      <c r="B474" s="92"/>
    </row>
    <row r="475" spans="2:2">
      <c r="B475" s="92"/>
    </row>
    <row r="476" spans="2:2">
      <c r="B476" s="92"/>
    </row>
    <row r="477" spans="2:2">
      <c r="B477" s="92"/>
    </row>
    <row r="478" spans="2:2">
      <c r="B478" s="92"/>
    </row>
    <row r="479" spans="2:2">
      <c r="B479" s="92"/>
    </row>
    <row r="480" spans="2:2">
      <c r="B480" s="92"/>
    </row>
    <row r="481" spans="2:2">
      <c r="B481" s="92"/>
    </row>
    <row r="482" spans="2:2">
      <c r="B482" s="92"/>
    </row>
    <row r="483" spans="2:2">
      <c r="B483" s="92"/>
    </row>
    <row r="484" spans="2:2">
      <c r="B484" s="92"/>
    </row>
    <row r="485" spans="2:2">
      <c r="B485" s="92"/>
    </row>
    <row r="486" spans="2:2">
      <c r="B486" s="92"/>
    </row>
    <row r="487" spans="2:2">
      <c r="B487" s="92"/>
    </row>
    <row r="488" spans="2:2">
      <c r="B488" s="92"/>
    </row>
    <row r="489" spans="2:2">
      <c r="B489" s="92"/>
    </row>
    <row r="490" spans="2:2">
      <c r="B490" s="92"/>
    </row>
    <row r="491" spans="2:2">
      <c r="B491" s="92"/>
    </row>
    <row r="492" spans="2:2">
      <c r="B492" s="92"/>
    </row>
    <row r="493" spans="2:2">
      <c r="B493" s="92"/>
    </row>
    <row r="494" spans="2:2">
      <c r="B494" s="92"/>
    </row>
    <row r="495" spans="2:2">
      <c r="B495" s="92"/>
    </row>
    <row r="496" spans="2:2">
      <c r="B496" s="92"/>
    </row>
    <row r="497" spans="2:2">
      <c r="B497" s="92"/>
    </row>
    <row r="498" spans="2:2">
      <c r="B498" s="92"/>
    </row>
    <row r="499" spans="2:2">
      <c r="B499" s="92"/>
    </row>
    <row r="500" spans="2:2">
      <c r="B500" s="92"/>
    </row>
    <row r="501" spans="2:2">
      <c r="B501" s="92"/>
    </row>
    <row r="502" spans="2:2">
      <c r="B502" s="92"/>
    </row>
    <row r="503" spans="2:2">
      <c r="B503" s="92"/>
    </row>
    <row r="504" spans="2:2">
      <c r="B504" s="92"/>
    </row>
    <row r="505" spans="2:2">
      <c r="B505" s="92"/>
    </row>
    <row r="506" spans="2:2">
      <c r="B506" s="92"/>
    </row>
    <row r="507" spans="2:2">
      <c r="B507" s="92"/>
    </row>
    <row r="508" spans="2:2">
      <c r="B508" s="92"/>
    </row>
    <row r="509" spans="2:2">
      <c r="B509" s="92"/>
    </row>
    <row r="510" spans="2:2">
      <c r="B510" s="92"/>
    </row>
    <row r="511" spans="2:2">
      <c r="B511" s="92"/>
    </row>
    <row r="512" spans="2:2">
      <c r="B512" s="92"/>
    </row>
    <row r="513" spans="2:2">
      <c r="B513" s="92"/>
    </row>
    <row r="514" spans="2:2">
      <c r="B514" s="92"/>
    </row>
    <row r="515" spans="2:2">
      <c r="B515" s="92"/>
    </row>
    <row r="516" spans="2:2">
      <c r="B516" s="92"/>
    </row>
    <row r="517" spans="2:2">
      <c r="B517" s="92"/>
    </row>
    <row r="518" spans="2:2">
      <c r="B518" s="92"/>
    </row>
    <row r="519" spans="2:2">
      <c r="B519" s="92"/>
    </row>
    <row r="520" spans="2:2">
      <c r="B520" s="92"/>
    </row>
    <row r="521" spans="2:2">
      <c r="B521" s="92"/>
    </row>
    <row r="522" spans="2:2">
      <c r="B522" s="92"/>
    </row>
    <row r="523" spans="2:2">
      <c r="B523" s="92"/>
    </row>
    <row r="524" spans="2:2">
      <c r="B524" s="92"/>
    </row>
    <row r="525" spans="2:2">
      <c r="B525" s="92"/>
    </row>
    <row r="526" spans="2:2">
      <c r="B526" s="92"/>
    </row>
    <row r="527" spans="2:2">
      <c r="B527" s="92"/>
    </row>
    <row r="528" spans="2:2">
      <c r="B528" s="92"/>
    </row>
    <row r="529" spans="2:2">
      <c r="B529" s="92"/>
    </row>
    <row r="530" spans="2:2">
      <c r="B530" s="92"/>
    </row>
    <row r="531" spans="2:2">
      <c r="B531" s="92"/>
    </row>
    <row r="532" spans="2:2">
      <c r="B532" s="92"/>
    </row>
    <row r="533" spans="2:2">
      <c r="B533" s="92"/>
    </row>
    <row r="534" spans="2:2">
      <c r="B534" s="92"/>
    </row>
    <row r="535" spans="2:2">
      <c r="B535" s="92"/>
    </row>
    <row r="536" spans="2:2">
      <c r="B536" s="92"/>
    </row>
    <row r="537" spans="2:2">
      <c r="B537" s="92"/>
    </row>
    <row r="538" spans="2:2">
      <c r="B538" s="92"/>
    </row>
    <row r="539" spans="2:2">
      <c r="B539" s="92"/>
    </row>
    <row r="540" spans="2:2">
      <c r="B540" s="92"/>
    </row>
    <row r="541" spans="2:2">
      <c r="B541" s="92"/>
    </row>
    <row r="542" spans="2:2">
      <c r="B542" s="92"/>
    </row>
    <row r="543" spans="2:2">
      <c r="B543" s="92"/>
    </row>
    <row r="544" spans="2:2">
      <c r="B544" s="92"/>
    </row>
    <row r="545" spans="2:2">
      <c r="B545" s="92"/>
    </row>
    <row r="546" spans="2:2">
      <c r="B546" s="92"/>
    </row>
    <row r="547" spans="2:2">
      <c r="B547" s="92"/>
    </row>
    <row r="548" spans="2:2">
      <c r="B548" s="92"/>
    </row>
    <row r="549" spans="2:2">
      <c r="B549" s="92"/>
    </row>
    <row r="550" spans="2:2">
      <c r="B550" s="92"/>
    </row>
    <row r="551" spans="2:2">
      <c r="B551" s="92"/>
    </row>
    <row r="552" spans="2:2">
      <c r="B552" s="92"/>
    </row>
    <row r="553" spans="2:2">
      <c r="B553" s="92"/>
    </row>
    <row r="554" spans="2:2">
      <c r="B554" s="92"/>
    </row>
    <row r="555" spans="2:2">
      <c r="B555" s="92"/>
    </row>
    <row r="556" spans="2:2">
      <c r="B556" s="92"/>
    </row>
    <row r="557" spans="2:2">
      <c r="B557" s="92"/>
    </row>
    <row r="558" spans="2:2">
      <c r="B558" s="92"/>
    </row>
    <row r="559" spans="2:2">
      <c r="B559" s="92"/>
    </row>
    <row r="560" spans="2:2">
      <c r="B560" s="92"/>
    </row>
    <row r="561" spans="2:2">
      <c r="B561" s="92"/>
    </row>
    <row r="562" spans="2:2">
      <c r="B562" s="92"/>
    </row>
    <row r="563" spans="2:2">
      <c r="B563" s="92"/>
    </row>
    <row r="564" spans="2:2">
      <c r="B564" s="92"/>
    </row>
    <row r="565" spans="2:2">
      <c r="B565" s="92"/>
    </row>
    <row r="566" spans="2:2">
      <c r="B566" s="92"/>
    </row>
    <row r="567" spans="2:2">
      <c r="B567" s="92"/>
    </row>
    <row r="568" spans="2:2">
      <c r="B568" s="92"/>
    </row>
  </sheetData>
  <sheetProtection algorithmName="SHA-512" hashValue="Zf//UaTF3jwT8I1KbpokxGnlmiUOprE1fjYSvnf+Q/9VS2Ihr5rncw6/hyeylvuIpach79pxG+2i0Bzo18q5uQ==" saltValue="JCEct1LfDuhU44dSqrejlw==" spinCount="100000" sheet="1" objects="1" scenarios="1" formatRows="0" selectLockedCells="1"/>
  <dataConsolidate/>
  <conditionalFormatting sqref="G4:G273">
    <cfRule type="expression" dxfId="6" priority="1">
      <formula>AND(F4&lt;&gt;"",OR(G4="",G4=0))</formula>
    </cfRule>
  </conditionalFormatting>
  <pageMargins left="0.75" right="0.75" top="1" bottom="1" header="0.5" footer="0.5"/>
  <pageSetup paperSize="9" orientation="portrait" horizontalDpi="4294967292" verticalDpi="429496729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I597"/>
  <sheetViews>
    <sheetView zoomScale="115" zoomScaleNormal="115" zoomScalePageLayoutView="115" workbookViewId="0">
      <pane xSplit="3" ySplit="3" topLeftCell="D23" activePane="bottomRight" state="frozenSplit"/>
      <selection activeCell="B17" sqref="B17"/>
      <selection pane="topRight" activeCell="B17" sqref="B17"/>
      <selection pane="bottomLeft" activeCell="B17" sqref="B17"/>
      <selection pane="bottomRight" activeCell="A172" sqref="A172"/>
    </sheetView>
  </sheetViews>
  <sheetFormatPr baseColWidth="10" defaultColWidth="10.86328125" defaultRowHeight="14.25"/>
  <cols>
    <col min="1" max="1" width="9.3984375" style="260" customWidth="1"/>
    <col min="2" max="2" width="32.3984375" style="260" customWidth="1"/>
    <col min="3" max="3" width="7.265625" style="260" customWidth="1"/>
    <col min="4" max="9" width="40.1328125" style="260" customWidth="1"/>
    <col min="10" max="16384" width="10.86328125" style="260"/>
  </cols>
  <sheetData>
    <row r="1" spans="1:9" ht="25.9" thickBot="1">
      <c r="A1" s="181">
        <f>'Languages Available'!B1</f>
        <v>1</v>
      </c>
      <c r="B1" s="257" t="s">
        <v>1348</v>
      </c>
      <c r="C1" s="258"/>
      <c r="D1" s="259" t="str">
        <f>'General Info'!E3</f>
        <v>English</v>
      </c>
    </row>
    <row r="2" spans="1:9">
      <c r="D2" s="260">
        <v>1</v>
      </c>
      <c r="E2" s="260">
        <v>2</v>
      </c>
      <c r="F2" s="260">
        <v>3</v>
      </c>
      <c r="G2" s="260">
        <v>4</v>
      </c>
      <c r="H2" s="260">
        <v>5</v>
      </c>
      <c r="I2" s="260">
        <v>6</v>
      </c>
    </row>
    <row r="3" spans="1:9" ht="21">
      <c r="B3" s="261" t="s">
        <v>1347</v>
      </c>
      <c r="C3" s="262"/>
      <c r="D3" s="194" t="str">
        <f>VLOOKUP(D2,'Languages Available'!$A$3:$B$23,2)</f>
        <v>English</v>
      </c>
      <c r="E3" s="194" t="str">
        <f>VLOOKUP(E2,'Languages Available'!$A$3:$B$23,2)</f>
        <v>Dutch</v>
      </c>
      <c r="F3" s="194" t="str">
        <f>VLOOKUP(F2,'Languages Available'!$A$3:$B$23,2)</f>
        <v>Français</v>
      </c>
      <c r="G3" s="194" t="str">
        <f>VLOOKUP(G2,'Languages Available'!$A$3:$B$23,2)</f>
        <v>Deutsch</v>
      </c>
      <c r="H3" s="194" t="str">
        <f>VLOOKUP(H2,'Languages Available'!$A$3:$B$23,2)</f>
        <v>Spanish</v>
      </c>
      <c r="I3" s="194" t="str">
        <f>VLOOKUP(I2,'Languages Available'!$A$3:$B$23,2)</f>
        <v>Portuguese</v>
      </c>
    </row>
    <row r="4" spans="1:9" s="334" customFormat="1" ht="13.15">
      <c r="A4" s="334">
        <f>C4</f>
        <v>1</v>
      </c>
      <c r="B4" s="335" t="str">
        <f>IF(ISBLANK(VLOOKUP(A4,$C$4:$V$10001,1+$A$1)),D4,VLOOKUP(A4,$C$4:$V$10001,1+$A$1))</f>
        <v>Morning</v>
      </c>
      <c r="C4" s="334">
        <v>1</v>
      </c>
      <c r="D4" s="267" t="s">
        <v>456</v>
      </c>
      <c r="E4" s="267" t="s">
        <v>867</v>
      </c>
      <c r="F4" s="267" t="s">
        <v>1164</v>
      </c>
      <c r="G4" s="336" t="s">
        <v>1358</v>
      </c>
      <c r="H4" s="336" t="s">
        <v>2223</v>
      </c>
      <c r="I4" s="336" t="s">
        <v>2542</v>
      </c>
    </row>
    <row r="5" spans="1:9" s="334" customFormat="1" ht="13.15">
      <c r="A5" s="334">
        <f t="shared" ref="A5:A68" si="0">C5</f>
        <v>2</v>
      </c>
      <c r="B5" s="337" t="str">
        <f>IF(ISBLANK(VLOOKUP(A5,$C$4:$V$10001,1+$A$1)),D5,VLOOKUP(A5,$C$4:$V$10001,1+$A$1))</f>
        <v>Afternoon</v>
      </c>
      <c r="C5" s="334">
        <f>+C4+1</f>
        <v>2</v>
      </c>
      <c r="D5" s="263" t="s">
        <v>457</v>
      </c>
      <c r="E5" s="263" t="s">
        <v>868</v>
      </c>
      <c r="F5" s="263" t="s">
        <v>1165</v>
      </c>
      <c r="G5" s="338" t="s">
        <v>1359</v>
      </c>
      <c r="H5" s="338" t="s">
        <v>2222</v>
      </c>
      <c r="I5" s="338" t="s">
        <v>2222</v>
      </c>
    </row>
    <row r="6" spans="1:9" s="334" customFormat="1" ht="13.15">
      <c r="A6" s="334">
        <f t="shared" si="0"/>
        <v>3</v>
      </c>
      <c r="B6" s="337" t="str">
        <f>IF(ISBLANK(VLOOKUP(A6,$C$4:$V$10001,1+$A$1)),D6,VLOOKUP(A6,$C$4:$V$10001,1+$A$1))</f>
        <v>Evening</v>
      </c>
      <c r="C6" s="334">
        <f t="shared" ref="C6:C69" si="1">+C5+1</f>
        <v>3</v>
      </c>
      <c r="D6" s="263" t="s">
        <v>458</v>
      </c>
      <c r="E6" s="263" t="s">
        <v>869</v>
      </c>
      <c r="F6" s="263" t="s">
        <v>1166</v>
      </c>
      <c r="G6" s="338" t="s">
        <v>1360</v>
      </c>
      <c r="H6" s="338" t="s">
        <v>2221</v>
      </c>
      <c r="I6" s="338" t="s">
        <v>2543</v>
      </c>
    </row>
    <row r="7" spans="1:9" s="334" customFormat="1" ht="13.15">
      <c r="A7" s="334">
        <f t="shared" si="0"/>
        <v>4</v>
      </c>
      <c r="B7" s="337"/>
      <c r="C7" s="334">
        <f t="shared" si="1"/>
        <v>4</v>
      </c>
      <c r="D7" s="263"/>
      <c r="E7" s="263"/>
      <c r="F7" s="263"/>
      <c r="G7" s="338"/>
      <c r="H7" s="338"/>
      <c r="I7" s="338"/>
    </row>
    <row r="8" spans="1:9" s="334" customFormat="1" ht="13.15">
      <c r="A8" s="334">
        <f t="shared" si="0"/>
        <v>5</v>
      </c>
      <c r="B8" s="337" t="str">
        <f>IF(ISBLANK(VLOOKUP(A8,$C$4:$V$10001,1+$A$1)),D8,VLOOKUP(A8,$C$4:$V$10001,1+$A$1))</f>
        <v>Sunny</v>
      </c>
      <c r="C8" s="334">
        <f t="shared" si="1"/>
        <v>5</v>
      </c>
      <c r="D8" s="263" t="s">
        <v>459</v>
      </c>
      <c r="E8" s="263" t="s">
        <v>783</v>
      </c>
      <c r="F8" s="263" t="s">
        <v>1167</v>
      </c>
      <c r="G8" s="338" t="s">
        <v>1361</v>
      </c>
      <c r="H8" s="338" t="s">
        <v>2220</v>
      </c>
      <c r="I8" s="338" t="s">
        <v>2544</v>
      </c>
    </row>
    <row r="9" spans="1:9" s="334" customFormat="1" ht="13.15">
      <c r="A9" s="334">
        <f t="shared" si="0"/>
        <v>6</v>
      </c>
      <c r="B9" s="337" t="str">
        <f>IF(ISBLANK(VLOOKUP(A9,$C$4:$V$10001,1+$A$1)),D9,VLOOKUP(A9,$C$4:$V$10001,1+$A$1))</f>
        <v>Cloudy</v>
      </c>
      <c r="C9" s="334">
        <f t="shared" si="1"/>
        <v>6</v>
      </c>
      <c r="D9" s="263" t="s">
        <v>460</v>
      </c>
      <c r="E9" s="263" t="s">
        <v>784</v>
      </c>
      <c r="F9" s="263" t="s">
        <v>1168</v>
      </c>
      <c r="G9" s="338" t="s">
        <v>1362</v>
      </c>
      <c r="H9" s="338" t="s">
        <v>2219</v>
      </c>
      <c r="I9" s="338" t="s">
        <v>2545</v>
      </c>
    </row>
    <row r="10" spans="1:9" s="334" customFormat="1" ht="13.15">
      <c r="A10" s="334">
        <f t="shared" si="0"/>
        <v>7</v>
      </c>
      <c r="B10" s="337" t="str">
        <f>IF(ISBLANK(VLOOKUP(A10,$C$4:$V$10001,1+$A$1)),D10,VLOOKUP(A10,$C$4:$V$10001,1+$A$1))</f>
        <v>Rain</v>
      </c>
      <c r="C10" s="334">
        <f t="shared" si="1"/>
        <v>7</v>
      </c>
      <c r="D10" s="263" t="s">
        <v>461</v>
      </c>
      <c r="E10" s="263" t="s">
        <v>785</v>
      </c>
      <c r="F10" s="263" t="s">
        <v>1169</v>
      </c>
      <c r="G10" s="338" t="s">
        <v>1363</v>
      </c>
      <c r="H10" s="338" t="s">
        <v>2218</v>
      </c>
      <c r="I10" s="338" t="s">
        <v>2546</v>
      </c>
    </row>
    <row r="11" spans="1:9" s="334" customFormat="1" ht="13.15">
      <c r="A11" s="334">
        <f t="shared" si="0"/>
        <v>8</v>
      </c>
      <c r="B11" s="337" t="str">
        <f>IF(ISBLANK(VLOOKUP(A11,$C$4:$V$10001,1+$A$1)),D11,VLOOKUP(A11,$C$4:$V$10001,1+$A$1))</f>
        <v>Dusk</v>
      </c>
      <c r="C11" s="334">
        <f t="shared" si="1"/>
        <v>8</v>
      </c>
      <c r="D11" s="263" t="s">
        <v>462</v>
      </c>
      <c r="E11" s="263" t="s">
        <v>786</v>
      </c>
      <c r="F11" s="263" t="s">
        <v>1170</v>
      </c>
      <c r="G11" s="338" t="s">
        <v>1364</v>
      </c>
      <c r="H11" s="338" t="s">
        <v>2217</v>
      </c>
      <c r="I11" s="338" t="s">
        <v>2547</v>
      </c>
    </row>
    <row r="12" spans="1:9" s="334" customFormat="1" ht="13.15">
      <c r="A12" s="334">
        <f t="shared" si="0"/>
        <v>9</v>
      </c>
      <c r="B12" s="337" t="str">
        <f>IF(ISBLANK(VLOOKUP(A12,$C$4:$V$10001,1+$A$1)),D12,VLOOKUP(A12,$C$4:$V$10001,1+$A$1))</f>
        <v>Night</v>
      </c>
      <c r="C12" s="334">
        <f t="shared" si="1"/>
        <v>9</v>
      </c>
      <c r="D12" s="263" t="s">
        <v>463</v>
      </c>
      <c r="E12" s="263" t="s">
        <v>787</v>
      </c>
      <c r="F12" s="263" t="s">
        <v>1171</v>
      </c>
      <c r="G12" s="338" t="s">
        <v>1365</v>
      </c>
      <c r="H12" s="338" t="s">
        <v>2216</v>
      </c>
      <c r="I12" s="338" t="s">
        <v>2543</v>
      </c>
    </row>
    <row r="13" spans="1:9" s="334" customFormat="1" ht="13.15">
      <c r="A13" s="334">
        <f t="shared" si="0"/>
        <v>10</v>
      </c>
      <c r="B13" s="337"/>
      <c r="C13" s="334">
        <f t="shared" si="1"/>
        <v>10</v>
      </c>
      <c r="D13" s="263"/>
      <c r="E13" s="263"/>
      <c r="F13" s="263"/>
      <c r="G13" s="338"/>
      <c r="H13" s="338"/>
      <c r="I13" s="338"/>
    </row>
    <row r="14" spans="1:9" s="334" customFormat="1" ht="13.15">
      <c r="A14" s="334">
        <f t="shared" si="0"/>
        <v>11</v>
      </c>
      <c r="B14" s="337" t="str">
        <f>IF(ISBLANK(VLOOKUP(A14,$C$4:$V$10001,1+$A$1)),D14,VLOOKUP(A14,$C$4:$V$10001,1+$A$1))</f>
        <v xml:space="preserve"> &gt; 75%</v>
      </c>
      <c r="C14" s="334">
        <f t="shared" si="1"/>
        <v>11</v>
      </c>
      <c r="D14" s="263" t="s">
        <v>464</v>
      </c>
      <c r="E14" s="263" t="s">
        <v>464</v>
      </c>
      <c r="F14" s="263" t="s">
        <v>1172</v>
      </c>
      <c r="G14" s="338" t="s">
        <v>464</v>
      </c>
      <c r="H14" s="338" t="s">
        <v>464</v>
      </c>
      <c r="I14" s="338" t="s">
        <v>464</v>
      </c>
    </row>
    <row r="15" spans="1:9" s="334" customFormat="1" ht="13.15">
      <c r="A15" s="334">
        <f t="shared" si="0"/>
        <v>12</v>
      </c>
      <c r="B15" s="337" t="str">
        <f>IF(ISBLANK(VLOOKUP(A15,$C$4:$V$10001,1+$A$1)),D15,VLOOKUP(A15,$C$4:$V$10001,1+$A$1))</f>
        <v xml:space="preserve"> 50% - 75%</v>
      </c>
      <c r="C15" s="334">
        <f t="shared" si="1"/>
        <v>12</v>
      </c>
      <c r="D15" s="263" t="s">
        <v>466</v>
      </c>
      <c r="E15" s="263" t="s">
        <v>466</v>
      </c>
      <c r="F15" s="263" t="s">
        <v>1173</v>
      </c>
      <c r="G15" s="338" t="s">
        <v>466</v>
      </c>
      <c r="H15" s="338" t="s">
        <v>466</v>
      </c>
      <c r="I15" s="338" t="s">
        <v>466</v>
      </c>
    </row>
    <row r="16" spans="1:9" s="334" customFormat="1" ht="13.15">
      <c r="A16" s="334">
        <f t="shared" si="0"/>
        <v>13</v>
      </c>
      <c r="B16" s="337" t="str">
        <f>IF(ISBLANK(VLOOKUP(A16,$C$4:$V$10001,1+$A$1)),D16,VLOOKUP(A16,$C$4:$V$10001,1+$A$1))</f>
        <v xml:space="preserve"> about 50%</v>
      </c>
      <c r="C16" s="334">
        <f t="shared" si="1"/>
        <v>13</v>
      </c>
      <c r="D16" s="263" t="s">
        <v>467</v>
      </c>
      <c r="E16" s="263" t="s">
        <v>788</v>
      </c>
      <c r="F16" s="263" t="s">
        <v>1174</v>
      </c>
      <c r="G16" s="338" t="s">
        <v>1366</v>
      </c>
      <c r="H16" s="338" t="s">
        <v>2215</v>
      </c>
      <c r="I16" s="339" t="s">
        <v>2548</v>
      </c>
    </row>
    <row r="17" spans="1:9" s="334" customFormat="1" ht="13.15">
      <c r="A17" s="334">
        <f t="shared" si="0"/>
        <v>14</v>
      </c>
      <c r="B17" s="337" t="str">
        <f>IF(ISBLANK(VLOOKUP(A17,$C$4:$V$10001,1+$A$1)),D17,VLOOKUP(A17,$C$4:$V$10001,1+$A$1))</f>
        <v xml:space="preserve"> 25% - 50%  </v>
      </c>
      <c r="C17" s="334">
        <f t="shared" si="1"/>
        <v>14</v>
      </c>
      <c r="D17" s="263" t="s">
        <v>468</v>
      </c>
      <c r="E17" s="263" t="s">
        <v>468</v>
      </c>
      <c r="F17" s="263" t="s">
        <v>1175</v>
      </c>
      <c r="G17" s="338" t="s">
        <v>1367</v>
      </c>
      <c r="H17" s="338" t="s">
        <v>468</v>
      </c>
      <c r="I17" s="338" t="s">
        <v>468</v>
      </c>
    </row>
    <row r="18" spans="1:9" s="334" customFormat="1" ht="13.15">
      <c r="A18" s="334">
        <f t="shared" si="0"/>
        <v>15</v>
      </c>
      <c r="B18" s="337" t="str">
        <f>IF(ISBLANK(VLOOKUP(A18,$C$4:$V$10001,1+$A$1)),D18,VLOOKUP(A18,$C$4:$V$10001,1+$A$1))</f>
        <v>&lt; 25%</v>
      </c>
      <c r="C18" s="334">
        <f t="shared" si="1"/>
        <v>15</v>
      </c>
      <c r="D18" s="263" t="s">
        <v>465</v>
      </c>
      <c r="E18" s="263" t="s">
        <v>465</v>
      </c>
      <c r="F18" s="263" t="s">
        <v>465</v>
      </c>
      <c r="G18" s="338" t="s">
        <v>465</v>
      </c>
      <c r="H18" s="338" t="s">
        <v>465</v>
      </c>
      <c r="I18" s="338" t="s">
        <v>465</v>
      </c>
    </row>
    <row r="19" spans="1:9" s="334" customFormat="1" ht="13.15">
      <c r="A19" s="334">
        <f t="shared" si="0"/>
        <v>16</v>
      </c>
      <c r="B19" s="337"/>
      <c r="C19" s="334">
        <f t="shared" si="1"/>
        <v>16</v>
      </c>
      <c r="D19" s="263"/>
      <c r="E19" s="263"/>
      <c r="F19" s="263"/>
      <c r="G19" s="338"/>
      <c r="H19" s="338"/>
      <c r="I19" s="338"/>
    </row>
    <row r="20" spans="1:9" s="334" customFormat="1" ht="13.15">
      <c r="A20" s="334">
        <f t="shared" si="0"/>
        <v>17</v>
      </c>
      <c r="B20" s="337" t="str">
        <f>IF(ISBLANK(VLOOKUP(A20,$C$4:$V$10001,1+$A$1)),D20,VLOOKUP(A20,$C$4:$V$10001,1+$A$1))</f>
        <v>OK</v>
      </c>
      <c r="C20" s="334">
        <f t="shared" si="1"/>
        <v>17</v>
      </c>
      <c r="D20" s="263" t="s">
        <v>115</v>
      </c>
      <c r="E20" s="263" t="s">
        <v>789</v>
      </c>
      <c r="F20" s="263" t="s">
        <v>1176</v>
      </c>
      <c r="G20" s="338" t="s">
        <v>115</v>
      </c>
      <c r="H20" s="338" t="s">
        <v>115</v>
      </c>
      <c r="I20" s="338" t="s">
        <v>115</v>
      </c>
    </row>
    <row r="21" spans="1:9" s="334" customFormat="1" ht="13.15">
      <c r="A21" s="334">
        <f t="shared" si="0"/>
        <v>18</v>
      </c>
      <c r="B21" s="337" t="str">
        <f>IF(ISBLANK(VLOOKUP(A21,$C$4:$V$10001,1+$A$1)),D21,VLOOKUP(A21,$C$4:$V$10001,1+$A$1))</f>
        <v>Fail</v>
      </c>
      <c r="C21" s="334">
        <f t="shared" si="1"/>
        <v>18</v>
      </c>
      <c r="D21" s="263" t="s">
        <v>116</v>
      </c>
      <c r="E21" s="263" t="s">
        <v>790</v>
      </c>
      <c r="F21" s="263" t="s">
        <v>1177</v>
      </c>
      <c r="G21" s="338" t="s">
        <v>1368</v>
      </c>
      <c r="H21" s="338" t="s">
        <v>2214</v>
      </c>
      <c r="I21" s="338" t="s">
        <v>2549</v>
      </c>
    </row>
    <row r="22" spans="1:9" s="334" customFormat="1" ht="13.15">
      <c r="A22" s="334">
        <f t="shared" si="0"/>
        <v>19</v>
      </c>
      <c r="B22" s="337"/>
      <c r="C22" s="334">
        <f t="shared" si="1"/>
        <v>19</v>
      </c>
      <c r="D22" s="263"/>
      <c r="E22" s="263"/>
      <c r="F22" s="263"/>
      <c r="G22" s="338"/>
      <c r="H22" s="338"/>
      <c r="I22" s="338"/>
    </row>
    <row r="23" spans="1:9" s="334" customFormat="1" ht="13.15">
      <c r="A23" s="334">
        <f t="shared" si="0"/>
        <v>20</v>
      </c>
      <c r="B23" s="337" t="str">
        <f t="shared" ref="B23:B28" si="2">IF(ISBLANK(VLOOKUP(A23,$C$4:$V$10001,1+$A$1)),D23,VLOOKUP(A23,$C$4:$V$10001,1+$A$1))</f>
        <v>Yes</v>
      </c>
      <c r="C23" s="334">
        <f t="shared" si="1"/>
        <v>20</v>
      </c>
      <c r="D23" s="263" t="s">
        <v>130</v>
      </c>
      <c r="E23" s="263" t="s">
        <v>791</v>
      </c>
      <c r="F23" s="263" t="s">
        <v>1178</v>
      </c>
      <c r="G23" s="338" t="s">
        <v>791</v>
      </c>
      <c r="H23" s="338" t="s">
        <v>2208</v>
      </c>
      <c r="I23" s="338" t="s">
        <v>2550</v>
      </c>
    </row>
    <row r="24" spans="1:9" s="334" customFormat="1" ht="13.15">
      <c r="A24" s="334">
        <f t="shared" si="0"/>
        <v>21</v>
      </c>
      <c r="B24" s="337" t="str">
        <f t="shared" si="2"/>
        <v>No</v>
      </c>
      <c r="C24" s="334">
        <f t="shared" si="1"/>
        <v>21</v>
      </c>
      <c r="D24" s="263" t="s">
        <v>131</v>
      </c>
      <c r="E24" s="263" t="s">
        <v>792</v>
      </c>
      <c r="F24" s="263" t="s">
        <v>1179</v>
      </c>
      <c r="G24" s="338" t="s">
        <v>1369</v>
      </c>
      <c r="H24" s="338" t="s">
        <v>131</v>
      </c>
      <c r="I24" s="338" t="s">
        <v>2551</v>
      </c>
    </row>
    <row r="25" spans="1:9" s="334" customFormat="1" ht="13.15">
      <c r="A25" s="334">
        <f t="shared" si="0"/>
        <v>22</v>
      </c>
      <c r="B25" s="337" t="str">
        <f t="shared" si="2"/>
        <v>Irrelevant</v>
      </c>
      <c r="C25" s="334">
        <f t="shared" si="1"/>
        <v>22</v>
      </c>
      <c r="D25" s="263" t="s">
        <v>211</v>
      </c>
      <c r="E25" s="263" t="s">
        <v>211</v>
      </c>
      <c r="F25" s="263" t="s">
        <v>1180</v>
      </c>
      <c r="G25" s="338" t="s">
        <v>1370</v>
      </c>
      <c r="H25" s="338" t="s">
        <v>2213</v>
      </c>
      <c r="I25" s="338" t="s">
        <v>2552</v>
      </c>
    </row>
    <row r="26" spans="1:9" s="334" customFormat="1" ht="13.15">
      <c r="A26" s="334">
        <f t="shared" si="0"/>
        <v>23</v>
      </c>
      <c r="B26" s="337" t="str">
        <f t="shared" si="2"/>
        <v>Clear signing</v>
      </c>
      <c r="C26" s="334">
        <f t="shared" si="1"/>
        <v>23</v>
      </c>
      <c r="D26" s="263" t="s">
        <v>213</v>
      </c>
      <c r="E26" s="263" t="s">
        <v>793</v>
      </c>
      <c r="F26" s="263" t="s">
        <v>1181</v>
      </c>
      <c r="G26" s="338" t="s">
        <v>1371</v>
      </c>
      <c r="H26" s="338" t="s">
        <v>2212</v>
      </c>
      <c r="I26" s="338" t="s">
        <v>2643</v>
      </c>
    </row>
    <row r="27" spans="1:9" s="334" customFormat="1" ht="13.15">
      <c r="A27" s="334">
        <f t="shared" si="0"/>
        <v>24</v>
      </c>
      <c r="B27" s="337" t="str">
        <f t="shared" si="2"/>
        <v>Incomplete signing</v>
      </c>
      <c r="C27" s="334">
        <f t="shared" si="1"/>
        <v>24</v>
      </c>
      <c r="D27" s="263" t="s">
        <v>214</v>
      </c>
      <c r="E27" s="263" t="s">
        <v>794</v>
      </c>
      <c r="F27" s="263" t="s">
        <v>1182</v>
      </c>
      <c r="G27" s="338" t="s">
        <v>1372</v>
      </c>
      <c r="H27" s="338" t="s">
        <v>2211</v>
      </c>
      <c r="I27" s="338" t="s">
        <v>2553</v>
      </c>
    </row>
    <row r="28" spans="1:9" s="334" customFormat="1" ht="13.15">
      <c r="A28" s="334">
        <f t="shared" si="0"/>
        <v>25</v>
      </c>
      <c r="B28" s="337" t="str">
        <f t="shared" si="2"/>
        <v>No signing</v>
      </c>
      <c r="C28" s="334">
        <f t="shared" si="1"/>
        <v>25</v>
      </c>
      <c r="D28" s="263" t="s">
        <v>215</v>
      </c>
      <c r="E28" s="263" t="s">
        <v>795</v>
      </c>
      <c r="F28" s="263" t="s">
        <v>1183</v>
      </c>
      <c r="G28" s="338" t="s">
        <v>1373</v>
      </c>
      <c r="H28" s="338" t="s">
        <v>2210</v>
      </c>
      <c r="I28" s="338" t="s">
        <v>2554</v>
      </c>
    </row>
    <row r="29" spans="1:9" s="334" customFormat="1" ht="13.15">
      <c r="A29" s="334">
        <f t="shared" si="0"/>
        <v>26</v>
      </c>
      <c r="B29" s="337"/>
      <c r="C29" s="334">
        <f t="shared" si="1"/>
        <v>26</v>
      </c>
      <c r="D29" s="263"/>
      <c r="E29" s="263"/>
      <c r="F29" s="263"/>
      <c r="G29" s="338"/>
      <c r="H29" s="338"/>
      <c r="I29" s="338"/>
    </row>
    <row r="30" spans="1:9" s="334" customFormat="1" ht="13.15">
      <c r="A30" s="334">
        <f t="shared" si="0"/>
        <v>27</v>
      </c>
      <c r="B30" s="337" t="str">
        <f>IF(ISBLANK(VLOOKUP(A30,$C$4:$V$10001,1+$A$1)),D30,VLOOKUP(A30,$C$4:$V$10001,1+$A$1))</f>
        <v>0%-2%</v>
      </c>
      <c r="C30" s="334">
        <f t="shared" si="1"/>
        <v>27</v>
      </c>
      <c r="D30" s="263" t="s">
        <v>217</v>
      </c>
      <c r="E30" s="263" t="s">
        <v>217</v>
      </c>
      <c r="F30" s="263" t="s">
        <v>1184</v>
      </c>
      <c r="G30" s="338" t="s">
        <v>217</v>
      </c>
      <c r="H30" s="338" t="s">
        <v>217</v>
      </c>
      <c r="I30" s="338" t="s">
        <v>217</v>
      </c>
    </row>
    <row r="31" spans="1:9" s="334" customFormat="1" ht="13.15">
      <c r="A31" s="334">
        <f t="shared" si="0"/>
        <v>28</v>
      </c>
      <c r="B31" s="337" t="str">
        <f>IF(ISBLANK(VLOOKUP(A31,$C$4:$V$10001,1+$A$1)),D31,VLOOKUP(A31,$C$4:$V$10001,1+$A$1))</f>
        <v>2%-5%</v>
      </c>
      <c r="C31" s="334">
        <f t="shared" si="1"/>
        <v>28</v>
      </c>
      <c r="D31" s="263" t="s">
        <v>218</v>
      </c>
      <c r="E31" s="263" t="s">
        <v>218</v>
      </c>
      <c r="F31" s="263" t="s">
        <v>1185</v>
      </c>
      <c r="G31" s="338" t="s">
        <v>218</v>
      </c>
      <c r="H31" s="338" t="s">
        <v>218</v>
      </c>
      <c r="I31" s="338" t="s">
        <v>218</v>
      </c>
    </row>
    <row r="32" spans="1:9" s="334" customFormat="1" ht="13.15">
      <c r="A32" s="334">
        <f t="shared" si="0"/>
        <v>29</v>
      </c>
      <c r="B32" s="337" t="str">
        <f>IF(ISBLANK(VLOOKUP(A32,$C$4:$V$10001,1+$A$1)),D32,VLOOKUP(A32,$C$4:$V$10001,1+$A$1))</f>
        <v>Above 5%</v>
      </c>
      <c r="C32" s="334">
        <f t="shared" si="1"/>
        <v>29</v>
      </c>
      <c r="D32" s="263" t="s">
        <v>216</v>
      </c>
      <c r="E32" s="263" t="s">
        <v>796</v>
      </c>
      <c r="F32" s="263" t="s">
        <v>1186</v>
      </c>
      <c r="G32" s="338" t="s">
        <v>1374</v>
      </c>
      <c r="H32" s="338" t="s">
        <v>2209</v>
      </c>
      <c r="I32" s="340" t="s">
        <v>2555</v>
      </c>
    </row>
    <row r="33" spans="1:9" s="334" customFormat="1" ht="13.15">
      <c r="A33" s="334">
        <f t="shared" si="0"/>
        <v>30</v>
      </c>
      <c r="B33" s="337"/>
      <c r="C33" s="334">
        <f t="shared" si="1"/>
        <v>30</v>
      </c>
      <c r="D33" s="263"/>
      <c r="E33" s="263"/>
      <c r="F33" s="263"/>
      <c r="G33" s="338"/>
      <c r="H33" s="338"/>
      <c r="I33" s="338"/>
    </row>
    <row r="34" spans="1:9" s="334" customFormat="1" ht="13.15">
      <c r="A34" s="334">
        <f t="shared" si="0"/>
        <v>31</v>
      </c>
      <c r="B34" s="337" t="str">
        <f>IF(ISBLANK(VLOOKUP(A34,$C$4:$V$10001,1+$A$1)),D34,VLOOKUP(A34,$C$4:$V$10001,1+$A$1))</f>
        <v xml:space="preserve">Yes </v>
      </c>
      <c r="C34" s="334">
        <f t="shared" si="1"/>
        <v>31</v>
      </c>
      <c r="D34" s="263" t="s">
        <v>219</v>
      </c>
      <c r="E34" s="263" t="s">
        <v>791</v>
      </c>
      <c r="F34" s="263" t="s">
        <v>1178</v>
      </c>
      <c r="G34" s="338" t="s">
        <v>791</v>
      </c>
      <c r="H34" s="338" t="s">
        <v>2208</v>
      </c>
      <c r="I34" s="338" t="s">
        <v>2550</v>
      </c>
    </row>
    <row r="35" spans="1:9" s="334" customFormat="1" ht="13.15">
      <c r="A35" s="334">
        <f t="shared" si="0"/>
        <v>32</v>
      </c>
      <c r="B35" s="337" t="str">
        <f>IF(ISBLANK(VLOOKUP(A35,$C$4:$V$10001,1+$A$1)),D35,VLOOKUP(A35,$C$4:$V$10001,1+$A$1))</f>
        <v>No protection</v>
      </c>
      <c r="C35" s="334">
        <f t="shared" si="1"/>
        <v>32</v>
      </c>
      <c r="D35" s="263" t="s">
        <v>220</v>
      </c>
      <c r="E35" s="263" t="s">
        <v>797</v>
      </c>
      <c r="F35" s="263" t="s">
        <v>1187</v>
      </c>
      <c r="G35" s="338" t="s">
        <v>1375</v>
      </c>
      <c r="H35" s="338" t="s">
        <v>2207</v>
      </c>
      <c r="I35" s="338" t="s">
        <v>2556</v>
      </c>
    </row>
    <row r="36" spans="1:9" s="334" customFormat="1" ht="13.15">
      <c r="A36" s="334">
        <f t="shared" si="0"/>
        <v>33</v>
      </c>
      <c r="B36" s="337" t="str">
        <f>IF(ISBLANK(VLOOKUP(A36,$C$4:$V$10001,1+$A$1)),D36,VLOOKUP(A36,$C$4:$V$10001,1+$A$1))</f>
        <v>No kerbs in entry/exit area</v>
      </c>
      <c r="C36" s="334">
        <f t="shared" si="1"/>
        <v>33</v>
      </c>
      <c r="D36" s="263" t="s">
        <v>221</v>
      </c>
      <c r="E36" s="263" t="s">
        <v>798</v>
      </c>
      <c r="F36" s="263" t="s">
        <v>1188</v>
      </c>
      <c r="G36" s="338" t="s">
        <v>1376</v>
      </c>
      <c r="H36" s="338" t="s">
        <v>2206</v>
      </c>
      <c r="I36" s="338" t="s">
        <v>2644</v>
      </c>
    </row>
    <row r="37" spans="1:9" s="334" customFormat="1" ht="13.15">
      <c r="A37" s="334">
        <f t="shared" si="0"/>
        <v>34</v>
      </c>
      <c r="B37" s="337"/>
      <c r="C37" s="334">
        <f t="shared" si="1"/>
        <v>34</v>
      </c>
      <c r="D37" s="263"/>
      <c r="E37" s="263"/>
      <c r="F37" s="263"/>
      <c r="G37" s="338"/>
      <c r="H37" s="338"/>
      <c r="I37" s="338"/>
    </row>
    <row r="38" spans="1:9" s="334" customFormat="1" ht="13.15">
      <c r="A38" s="334">
        <f t="shared" si="0"/>
        <v>35</v>
      </c>
      <c r="B38" s="337" t="str">
        <f>IF(ISBLANK(VLOOKUP(A38,$C$4:$V$10001,1+$A$1)),D38,VLOOKUP(A38,$C$4:$V$10001,1+$A$1))</f>
        <v>Anti slip</v>
      </c>
      <c r="C38" s="334">
        <f t="shared" si="1"/>
        <v>35</v>
      </c>
      <c r="D38" s="263" t="s">
        <v>223</v>
      </c>
      <c r="E38" s="263" t="s">
        <v>223</v>
      </c>
      <c r="F38" s="263" t="s">
        <v>1189</v>
      </c>
      <c r="G38" s="338" t="s">
        <v>1377</v>
      </c>
      <c r="H38" s="338" t="s">
        <v>2191</v>
      </c>
      <c r="I38" s="338" t="s">
        <v>2557</v>
      </c>
    </row>
    <row r="39" spans="1:9" s="334" customFormat="1" ht="13.15">
      <c r="A39" s="334">
        <f t="shared" si="0"/>
        <v>36</v>
      </c>
      <c r="B39" s="337" t="str">
        <f>IF(ISBLANK(VLOOKUP(A39,$C$4:$V$10001,1+$A$1)),D39,VLOOKUP(A39,$C$4:$V$10001,1+$A$1))</f>
        <v>Slippery when wet</v>
      </c>
      <c r="C39" s="334">
        <f t="shared" si="1"/>
        <v>36</v>
      </c>
      <c r="D39" s="263" t="s">
        <v>224</v>
      </c>
      <c r="E39" s="263" t="s">
        <v>799</v>
      </c>
      <c r="F39" s="263" t="s">
        <v>1190</v>
      </c>
      <c r="G39" s="338" t="s">
        <v>1378</v>
      </c>
      <c r="H39" s="338" t="s">
        <v>2205</v>
      </c>
      <c r="I39" s="338" t="s">
        <v>2558</v>
      </c>
    </row>
    <row r="40" spans="1:9" s="334" customFormat="1" ht="13.15">
      <c r="A40" s="334">
        <f t="shared" si="0"/>
        <v>37</v>
      </c>
      <c r="B40" s="337"/>
      <c r="C40" s="334">
        <f t="shared" si="1"/>
        <v>37</v>
      </c>
      <c r="D40" s="263"/>
      <c r="E40" s="263"/>
      <c r="F40" s="263"/>
      <c r="G40" s="338"/>
      <c r="H40" s="338"/>
      <c r="I40" s="338"/>
    </row>
    <row r="41" spans="1:9" s="334" customFormat="1" ht="13.15">
      <c r="A41" s="334">
        <f t="shared" si="0"/>
        <v>38</v>
      </c>
      <c r="B41" s="337" t="str">
        <f>IF(ISBLANK(VLOOKUP(A41,$C$4:$V$10001,1+$A$1)),D41,VLOOKUP(A41,$C$4:$V$10001,1+$A$1))</f>
        <v>&lt; 3 m</v>
      </c>
      <c r="C41" s="334">
        <f t="shared" si="1"/>
        <v>38</v>
      </c>
      <c r="D41" s="263" t="s">
        <v>225</v>
      </c>
      <c r="E41" s="263" t="s">
        <v>225</v>
      </c>
      <c r="F41" s="263" t="s">
        <v>225</v>
      </c>
      <c r="G41" s="338" t="s">
        <v>225</v>
      </c>
      <c r="H41" s="338" t="s">
        <v>225</v>
      </c>
      <c r="I41" s="338" t="s">
        <v>225</v>
      </c>
    </row>
    <row r="42" spans="1:9" s="334" customFormat="1" ht="13.15">
      <c r="A42" s="334">
        <f t="shared" si="0"/>
        <v>39</v>
      </c>
      <c r="B42" s="337" t="str">
        <f>IF(ISBLANK(VLOOKUP(A42,$C$4:$V$10001,1+$A$1)),D42,VLOOKUP(A42,$C$4:$V$10001,1+$A$1))</f>
        <v>3m – 3.3m</v>
      </c>
      <c r="C42" s="334">
        <f t="shared" si="1"/>
        <v>39</v>
      </c>
      <c r="D42" s="263" t="s">
        <v>226</v>
      </c>
      <c r="E42" s="263" t="s">
        <v>174</v>
      </c>
      <c r="F42" s="263" t="s">
        <v>226</v>
      </c>
      <c r="G42" s="338" t="s">
        <v>174</v>
      </c>
      <c r="H42" s="338" t="s">
        <v>226</v>
      </c>
      <c r="I42" s="338" t="s">
        <v>226</v>
      </c>
    </row>
    <row r="43" spans="1:9" s="334" customFormat="1" ht="13.15">
      <c r="A43" s="334">
        <f t="shared" si="0"/>
        <v>40</v>
      </c>
      <c r="B43" s="337" t="str">
        <f>IF(ISBLANK(VLOOKUP(A43,$C$4:$V$10001,1+$A$1)),D43,VLOOKUP(A43,$C$4:$V$10001,1+$A$1))</f>
        <v>&gt; 3.3m</v>
      </c>
      <c r="C43" s="334">
        <f t="shared" si="1"/>
        <v>40</v>
      </c>
      <c r="D43" s="263" t="s">
        <v>227</v>
      </c>
      <c r="E43" s="263" t="s">
        <v>227</v>
      </c>
      <c r="F43" s="263" t="s">
        <v>227</v>
      </c>
      <c r="G43" s="338" t="s">
        <v>227</v>
      </c>
      <c r="H43" s="338" t="s">
        <v>227</v>
      </c>
      <c r="I43" s="338" t="s">
        <v>227</v>
      </c>
    </row>
    <row r="44" spans="1:9" s="334" customFormat="1" ht="13.15">
      <c r="A44" s="334">
        <f t="shared" si="0"/>
        <v>41</v>
      </c>
      <c r="B44" s="337"/>
      <c r="C44" s="334">
        <f t="shared" si="1"/>
        <v>41</v>
      </c>
      <c r="D44" s="263"/>
      <c r="E44" s="263"/>
      <c r="F44" s="263"/>
      <c r="G44" s="338"/>
      <c r="H44" s="338"/>
      <c r="I44" s="338"/>
    </row>
    <row r="45" spans="1:9" s="334" customFormat="1" ht="13.15">
      <c r="A45" s="334">
        <f t="shared" si="0"/>
        <v>42</v>
      </c>
      <c r="B45" s="337" t="str">
        <f>IF(ISBLANK(VLOOKUP(A45,$C$4:$V$10001,1+$A$1)),D45,VLOOKUP(A45,$C$4:$V$10001,1+$A$1))</f>
        <v>Pillar does not intrude into the parking area</v>
      </c>
      <c r="C45" s="334">
        <f t="shared" si="1"/>
        <v>42</v>
      </c>
      <c r="D45" s="263" t="s">
        <v>228</v>
      </c>
      <c r="E45" s="263" t="s">
        <v>2795</v>
      </c>
      <c r="F45" s="263" t="s">
        <v>1191</v>
      </c>
      <c r="G45" s="338" t="s">
        <v>1379</v>
      </c>
      <c r="H45" s="338" t="s">
        <v>2204</v>
      </c>
      <c r="I45" s="338" t="s">
        <v>2559</v>
      </c>
    </row>
    <row r="46" spans="1:9" s="334" customFormat="1" ht="13.15">
      <c r="A46" s="334">
        <f t="shared" si="0"/>
        <v>43</v>
      </c>
      <c r="B46" s="337" t="str">
        <f>IF(ISBLANK(VLOOKUP(A46,$C$4:$V$10001,1+$A$1)),D46,VLOOKUP(A46,$C$4:$V$10001,1+$A$1))</f>
        <v>Pillar at beginning of stall</v>
      </c>
      <c r="C46" s="334">
        <f t="shared" si="1"/>
        <v>43</v>
      </c>
      <c r="D46" s="263" t="s">
        <v>229</v>
      </c>
      <c r="E46" s="263" t="s">
        <v>800</v>
      </c>
      <c r="F46" s="263" t="s">
        <v>1192</v>
      </c>
      <c r="G46" s="338" t="s">
        <v>1380</v>
      </c>
      <c r="H46" s="338" t="s">
        <v>2203</v>
      </c>
      <c r="I46" s="338" t="s">
        <v>2560</v>
      </c>
    </row>
    <row r="47" spans="1:9" s="334" customFormat="1" ht="13.15">
      <c r="A47" s="334">
        <f t="shared" si="0"/>
        <v>44</v>
      </c>
      <c r="B47" s="337" t="str">
        <f>IF(ISBLANK(VLOOKUP(A47,$C$4:$V$10001,1+$A$1)),D47,VLOOKUP(A47,$C$4:$V$10001,1+$A$1))</f>
        <v>Pillar next to car door</v>
      </c>
      <c r="C47" s="334">
        <f t="shared" si="1"/>
        <v>44</v>
      </c>
      <c r="D47" s="263" t="s">
        <v>230</v>
      </c>
      <c r="E47" s="263" t="s">
        <v>801</v>
      </c>
      <c r="F47" s="263" t="s">
        <v>1193</v>
      </c>
      <c r="G47" s="338" t="s">
        <v>1381</v>
      </c>
      <c r="H47" s="338" t="s">
        <v>2202</v>
      </c>
      <c r="I47" s="338" t="s">
        <v>2561</v>
      </c>
    </row>
    <row r="48" spans="1:9" s="334" customFormat="1" ht="26.25">
      <c r="A48" s="334">
        <f t="shared" si="0"/>
        <v>45</v>
      </c>
      <c r="B48" s="337" t="str">
        <f>IF(ISBLANK(VLOOKUP(A48,$C$4:$V$10001,1+$A$1)),D48,VLOOKUP(A48,$C$4:$V$10001,1+$A$1))</f>
        <v>Pillar at back of stall but intrudes into the parking area</v>
      </c>
      <c r="C48" s="334">
        <f t="shared" si="1"/>
        <v>45</v>
      </c>
      <c r="D48" s="263" t="s">
        <v>231</v>
      </c>
      <c r="E48" s="263" t="s">
        <v>2796</v>
      </c>
      <c r="F48" s="263" t="s">
        <v>1194</v>
      </c>
      <c r="G48" s="338" t="s">
        <v>1382</v>
      </c>
      <c r="H48" s="338" t="s">
        <v>2201</v>
      </c>
      <c r="I48" s="338" t="s">
        <v>2562</v>
      </c>
    </row>
    <row r="49" spans="1:9" s="334" customFormat="1" ht="13.15">
      <c r="A49" s="334">
        <f t="shared" si="0"/>
        <v>46</v>
      </c>
      <c r="B49" s="337"/>
      <c r="C49" s="334">
        <f t="shared" si="1"/>
        <v>46</v>
      </c>
      <c r="D49" s="263"/>
      <c r="E49" s="263"/>
      <c r="F49" s="263"/>
      <c r="G49" s="338"/>
      <c r="H49" s="338"/>
      <c r="I49" s="338"/>
    </row>
    <row r="50" spans="1:9" s="334" customFormat="1" ht="13.15">
      <c r="A50" s="334">
        <f t="shared" si="0"/>
        <v>47</v>
      </c>
      <c r="B50" s="337" t="str">
        <f>IF(ISBLANK(VLOOKUP(A50,$C$4:$V$10001,1+$A$1)),D50,VLOOKUP(A50,$C$4:$V$10001,1+$A$1))</f>
        <v>Good</v>
      </c>
      <c r="C50" s="334">
        <f t="shared" si="1"/>
        <v>47</v>
      </c>
      <c r="D50" s="263" t="s">
        <v>149</v>
      </c>
      <c r="E50" s="263" t="s">
        <v>802</v>
      </c>
      <c r="F50" s="263" t="s">
        <v>1195</v>
      </c>
      <c r="G50" s="338" t="s">
        <v>1383</v>
      </c>
      <c r="H50" s="338" t="s">
        <v>2146</v>
      </c>
      <c r="I50" s="338" t="s">
        <v>2563</v>
      </c>
    </row>
    <row r="51" spans="1:9" s="334" customFormat="1" ht="13.15">
      <c r="A51" s="334">
        <f t="shared" si="0"/>
        <v>48</v>
      </c>
      <c r="B51" s="337" t="str">
        <f>IF(ISBLANK(VLOOKUP(A51,$C$4:$V$10001,1+$A$1)),D51,VLOOKUP(A51,$C$4:$V$10001,1+$A$1))</f>
        <v>Medium</v>
      </c>
      <c r="C51" s="334">
        <f t="shared" si="1"/>
        <v>48</v>
      </c>
      <c r="D51" s="263" t="s">
        <v>150</v>
      </c>
      <c r="E51" s="263" t="s">
        <v>803</v>
      </c>
      <c r="F51" s="263" t="s">
        <v>1196</v>
      </c>
      <c r="G51" s="338" t="s">
        <v>1384</v>
      </c>
      <c r="H51" s="338" t="s">
        <v>2200</v>
      </c>
      <c r="I51" s="338" t="s">
        <v>2564</v>
      </c>
    </row>
    <row r="52" spans="1:9" s="334" customFormat="1" ht="13.15">
      <c r="A52" s="334">
        <f t="shared" si="0"/>
        <v>49</v>
      </c>
      <c r="B52" s="337" t="str">
        <f>IF(ISBLANK(VLOOKUP(A52,$C$4:$V$10001,1+$A$1)),D52,VLOOKUP(A52,$C$4:$V$10001,1+$A$1))</f>
        <v>Bad</v>
      </c>
      <c r="C52" s="334">
        <f t="shared" si="1"/>
        <v>49</v>
      </c>
      <c r="D52" s="263" t="s">
        <v>151</v>
      </c>
      <c r="E52" s="263" t="s">
        <v>804</v>
      </c>
      <c r="F52" s="263" t="s">
        <v>1197</v>
      </c>
      <c r="G52" s="338" t="s">
        <v>1385</v>
      </c>
      <c r="H52" s="338" t="s">
        <v>2199</v>
      </c>
      <c r="I52" s="338" t="s">
        <v>2565</v>
      </c>
    </row>
    <row r="53" spans="1:9" s="334" customFormat="1" ht="13.15">
      <c r="A53" s="334">
        <f t="shared" si="0"/>
        <v>50</v>
      </c>
      <c r="B53" s="337"/>
      <c r="C53" s="334">
        <f t="shared" si="1"/>
        <v>50</v>
      </c>
      <c r="D53" s="263"/>
      <c r="E53" s="263"/>
      <c r="F53" s="263"/>
      <c r="G53" s="338"/>
      <c r="H53" s="338"/>
      <c r="I53" s="338"/>
    </row>
    <row r="54" spans="1:9" s="334" customFormat="1" ht="13.15">
      <c r="A54" s="334">
        <f t="shared" si="0"/>
        <v>51</v>
      </c>
      <c r="B54" s="337" t="str">
        <f>IF(ISBLANK(VLOOKUP(A54,$C$4:$V$10001,1+$A$1)),D54,VLOOKUP(A54,$C$4:$V$10001,1+$A$1))</f>
        <v>Angle 76°-90°</v>
      </c>
      <c r="C54" s="334">
        <f t="shared" si="1"/>
        <v>51</v>
      </c>
      <c r="D54" s="263" t="s">
        <v>234</v>
      </c>
      <c r="E54" s="263" t="s">
        <v>1745</v>
      </c>
      <c r="F54" s="263" t="s">
        <v>234</v>
      </c>
      <c r="G54" s="338" t="s">
        <v>1386</v>
      </c>
      <c r="H54" s="338" t="s">
        <v>2198</v>
      </c>
      <c r="I54" s="338" t="s">
        <v>2566</v>
      </c>
    </row>
    <row r="55" spans="1:9" s="334" customFormat="1" ht="13.15">
      <c r="A55" s="334">
        <f t="shared" si="0"/>
        <v>52</v>
      </c>
      <c r="B55" s="337" t="str">
        <f>IF(ISBLANK(VLOOKUP(A55,$C$4:$V$10001,1+$A$1)),D55,VLOOKUP(A55,$C$4:$V$10001,1+$A$1))</f>
        <v>Angle  45°-75°</v>
      </c>
      <c r="C55" s="334">
        <f t="shared" si="1"/>
        <v>52</v>
      </c>
      <c r="D55" s="263" t="s">
        <v>233</v>
      </c>
      <c r="E55" s="263" t="s">
        <v>1746</v>
      </c>
      <c r="F55" s="263" t="s">
        <v>233</v>
      </c>
      <c r="G55" s="338" t="s">
        <v>1387</v>
      </c>
      <c r="H55" s="338" t="s">
        <v>2197</v>
      </c>
      <c r="I55" s="338" t="s">
        <v>2567</v>
      </c>
    </row>
    <row r="56" spans="1:9" s="334" customFormat="1" ht="13.15">
      <c r="A56" s="334">
        <f t="shared" si="0"/>
        <v>53</v>
      </c>
      <c r="B56" s="337"/>
      <c r="C56" s="334">
        <f t="shared" si="1"/>
        <v>53</v>
      </c>
      <c r="D56" s="263"/>
      <c r="E56" s="263"/>
      <c r="F56" s="263"/>
      <c r="G56" s="338"/>
      <c r="H56" s="338"/>
      <c r="I56" s="338"/>
    </row>
    <row r="57" spans="1:9" s="334" customFormat="1" ht="13.15">
      <c r="A57" s="334">
        <f t="shared" si="0"/>
        <v>54</v>
      </c>
      <c r="B57" s="337" t="str">
        <f t="shared" ref="B57:B62" si="3">IF(ISBLANK(VLOOKUP(A57,$C$4:$V$10001,1+$A$1)),D57,VLOOKUP(A57,$C$4:$V$10001,1+$A$1))</f>
        <v xml:space="preserve"> 2.25 m - 2.30 m</v>
      </c>
      <c r="C57" s="334">
        <f t="shared" si="1"/>
        <v>54</v>
      </c>
      <c r="D57" s="263" t="s">
        <v>238</v>
      </c>
      <c r="E57" s="263" t="s">
        <v>238</v>
      </c>
      <c r="F57" s="263" t="s">
        <v>1198</v>
      </c>
      <c r="G57" s="338" t="s">
        <v>238</v>
      </c>
      <c r="H57" s="338" t="s">
        <v>238</v>
      </c>
      <c r="I57" s="338" t="s">
        <v>238</v>
      </c>
    </row>
    <row r="58" spans="1:9" s="334" customFormat="1" ht="13.15">
      <c r="A58" s="334">
        <f t="shared" si="0"/>
        <v>55</v>
      </c>
      <c r="B58" s="337" t="str">
        <f t="shared" si="3"/>
        <v xml:space="preserve"> 2.30 m - 2.35 m</v>
      </c>
      <c r="C58" s="334">
        <f t="shared" si="1"/>
        <v>55</v>
      </c>
      <c r="D58" s="263" t="s">
        <v>239</v>
      </c>
      <c r="E58" s="263" t="s">
        <v>239</v>
      </c>
      <c r="F58" s="263" t="s">
        <v>1199</v>
      </c>
      <c r="G58" s="338" t="s">
        <v>239</v>
      </c>
      <c r="H58" s="338" t="s">
        <v>239</v>
      </c>
      <c r="I58" s="338" t="s">
        <v>239</v>
      </c>
    </row>
    <row r="59" spans="1:9" s="334" customFormat="1" ht="13.15">
      <c r="A59" s="334">
        <f t="shared" si="0"/>
        <v>56</v>
      </c>
      <c r="B59" s="337" t="str">
        <f t="shared" si="3"/>
        <v xml:space="preserve"> 2.35 m - 2.40 m</v>
      </c>
      <c r="C59" s="334">
        <f t="shared" si="1"/>
        <v>56</v>
      </c>
      <c r="D59" s="263" t="s">
        <v>240</v>
      </c>
      <c r="E59" s="263" t="s">
        <v>240</v>
      </c>
      <c r="F59" s="263" t="s">
        <v>1200</v>
      </c>
      <c r="G59" s="338" t="s">
        <v>240</v>
      </c>
      <c r="H59" s="338" t="s">
        <v>240</v>
      </c>
      <c r="I59" s="338" t="s">
        <v>240</v>
      </c>
    </row>
    <row r="60" spans="1:9" s="334" customFormat="1" ht="13.15">
      <c r="A60" s="334">
        <f t="shared" si="0"/>
        <v>57</v>
      </c>
      <c r="B60" s="337" t="str">
        <f t="shared" si="3"/>
        <v xml:space="preserve"> 2.40 m - 2.45 m</v>
      </c>
      <c r="C60" s="334">
        <f t="shared" si="1"/>
        <v>57</v>
      </c>
      <c r="D60" s="263" t="s">
        <v>241</v>
      </c>
      <c r="E60" s="263" t="s">
        <v>241</v>
      </c>
      <c r="F60" s="263" t="s">
        <v>1201</v>
      </c>
      <c r="G60" s="338" t="s">
        <v>241</v>
      </c>
      <c r="H60" s="338" t="s">
        <v>241</v>
      </c>
      <c r="I60" s="338" t="s">
        <v>241</v>
      </c>
    </row>
    <row r="61" spans="1:9" s="334" customFormat="1" ht="13.15">
      <c r="A61" s="334">
        <f t="shared" si="0"/>
        <v>58</v>
      </c>
      <c r="B61" s="337" t="str">
        <f t="shared" si="3"/>
        <v xml:space="preserve"> 2.45 m - 2.50 m</v>
      </c>
      <c r="C61" s="334">
        <f t="shared" si="1"/>
        <v>58</v>
      </c>
      <c r="D61" s="263" t="s">
        <v>242</v>
      </c>
      <c r="E61" s="263" t="s">
        <v>242</v>
      </c>
      <c r="F61" s="263" t="s">
        <v>1202</v>
      </c>
      <c r="G61" s="338" t="s">
        <v>242</v>
      </c>
      <c r="H61" s="338" t="s">
        <v>242</v>
      </c>
      <c r="I61" s="338" t="s">
        <v>242</v>
      </c>
    </row>
    <row r="62" spans="1:9" s="334" customFormat="1" ht="13.15">
      <c r="A62" s="334">
        <f t="shared" si="0"/>
        <v>59</v>
      </c>
      <c r="B62" s="337" t="str">
        <f t="shared" si="3"/>
        <v xml:space="preserve"> above 2.50 m</v>
      </c>
      <c r="C62" s="334">
        <f t="shared" si="1"/>
        <v>59</v>
      </c>
      <c r="D62" s="263" t="s">
        <v>243</v>
      </c>
      <c r="E62" s="263" t="s">
        <v>805</v>
      </c>
      <c r="F62" s="263" t="s">
        <v>1203</v>
      </c>
      <c r="G62" s="338" t="s">
        <v>1388</v>
      </c>
      <c r="H62" s="338" t="s">
        <v>2196</v>
      </c>
      <c r="I62" s="340" t="s">
        <v>2568</v>
      </c>
    </row>
    <row r="63" spans="1:9" s="334" customFormat="1" ht="13.15">
      <c r="A63" s="334">
        <f t="shared" si="0"/>
        <v>60</v>
      </c>
      <c r="B63" s="337"/>
      <c r="C63" s="334">
        <f t="shared" si="1"/>
        <v>60</v>
      </c>
      <c r="D63" s="263"/>
      <c r="E63" s="263"/>
      <c r="F63" s="263"/>
      <c r="G63" s="338"/>
      <c r="H63" s="338"/>
      <c r="I63" s="338"/>
    </row>
    <row r="64" spans="1:9" s="334" customFormat="1" ht="13.15">
      <c r="A64" s="334">
        <f t="shared" si="0"/>
        <v>61</v>
      </c>
      <c r="B64" s="337" t="str">
        <f>IF(ISBLANK(VLOOKUP(A64,$C$4:$V$10001,1+$A$1)),D64,VLOOKUP(A64,$C$4:$V$10001,1+$A$1))</f>
        <v>Compliant with the table</v>
      </c>
      <c r="C64" s="334">
        <f t="shared" si="1"/>
        <v>61</v>
      </c>
      <c r="D64" s="263" t="s">
        <v>244</v>
      </c>
      <c r="E64" s="263" t="s">
        <v>806</v>
      </c>
      <c r="F64" s="263" t="s">
        <v>1204</v>
      </c>
      <c r="G64" s="338" t="s">
        <v>1744</v>
      </c>
      <c r="H64" s="338" t="s">
        <v>2195</v>
      </c>
      <c r="I64" s="338" t="s">
        <v>2569</v>
      </c>
    </row>
    <row r="65" spans="1:9" s="334" customFormat="1" ht="13.15">
      <c r="A65" s="334">
        <f t="shared" si="0"/>
        <v>62</v>
      </c>
      <c r="B65" s="337" t="str">
        <f>IF(ISBLANK(VLOOKUP(A65,$C$4:$V$10001,1+$A$1)),D65,VLOOKUP(A65,$C$4:$V$10001,1+$A$1))</f>
        <v>Up to 30 cm less</v>
      </c>
      <c r="C65" s="334">
        <f t="shared" si="1"/>
        <v>62</v>
      </c>
      <c r="D65" s="263" t="s">
        <v>245</v>
      </c>
      <c r="E65" s="263" t="s">
        <v>807</v>
      </c>
      <c r="F65" s="263" t="s">
        <v>1205</v>
      </c>
      <c r="G65" s="338" t="s">
        <v>1389</v>
      </c>
      <c r="H65" s="338" t="s">
        <v>2194</v>
      </c>
      <c r="I65" s="338" t="s">
        <v>2570</v>
      </c>
    </row>
    <row r="66" spans="1:9" s="334" customFormat="1" ht="13.15">
      <c r="A66" s="334">
        <f t="shared" si="0"/>
        <v>63</v>
      </c>
      <c r="B66" s="337" t="str">
        <f>IF(ISBLANK(VLOOKUP(A66,$C$4:$V$10001,1+$A$1)),D66,VLOOKUP(A66,$C$4:$V$10001,1+$A$1))</f>
        <v>Up to 60 cm less</v>
      </c>
      <c r="C66" s="334">
        <f t="shared" si="1"/>
        <v>63</v>
      </c>
      <c r="D66" s="263" t="s">
        <v>246</v>
      </c>
      <c r="E66" s="263" t="s">
        <v>808</v>
      </c>
      <c r="F66" s="263" t="s">
        <v>1206</v>
      </c>
      <c r="G66" s="338" t="s">
        <v>1390</v>
      </c>
      <c r="H66" s="338" t="s">
        <v>2193</v>
      </c>
      <c r="I66" s="338" t="s">
        <v>2571</v>
      </c>
    </row>
    <row r="67" spans="1:9" s="334" customFormat="1" ht="13.15">
      <c r="A67" s="334">
        <f t="shared" si="0"/>
        <v>64</v>
      </c>
      <c r="B67" s="337" t="str">
        <f>IF(ISBLANK(VLOOKUP(A67,$C$4:$V$10001,1+$A$1)),D67,VLOOKUP(A67,$C$4:$V$10001,1+$A$1))</f>
        <v>More than 60 cm less</v>
      </c>
      <c r="C67" s="334">
        <f t="shared" si="1"/>
        <v>64</v>
      </c>
      <c r="D67" s="263" t="s">
        <v>247</v>
      </c>
      <c r="E67" s="263" t="s">
        <v>809</v>
      </c>
      <c r="F67" s="263" t="s">
        <v>1207</v>
      </c>
      <c r="G67" s="338" t="s">
        <v>1391</v>
      </c>
      <c r="H67" s="338" t="s">
        <v>2192</v>
      </c>
      <c r="I67" s="338" t="s">
        <v>2572</v>
      </c>
    </row>
    <row r="68" spans="1:9" s="334" customFormat="1" ht="13.15">
      <c r="A68" s="334">
        <f t="shared" si="0"/>
        <v>65</v>
      </c>
      <c r="B68" s="337"/>
      <c r="C68" s="334">
        <f t="shared" si="1"/>
        <v>65</v>
      </c>
      <c r="D68" s="263"/>
      <c r="E68" s="263"/>
      <c r="F68" s="263"/>
      <c r="G68" s="338"/>
      <c r="H68" s="338"/>
      <c r="I68" s="338"/>
    </row>
    <row r="69" spans="1:9" s="334" customFormat="1" ht="13.15">
      <c r="A69" s="334">
        <f t="shared" ref="A69:A132" si="4">C69</f>
        <v>66</v>
      </c>
      <c r="B69" s="337" t="str">
        <f>IF(ISBLANK(VLOOKUP(A69,$C$4:$V$10001,1+$A$1)),D69,VLOOKUP(A69,$C$4:$V$10001,1+$A$1))</f>
        <v>Anti-Slip</v>
      </c>
      <c r="C69" s="334">
        <f t="shared" si="1"/>
        <v>66</v>
      </c>
      <c r="D69" s="263" t="s">
        <v>163</v>
      </c>
      <c r="E69" s="263" t="s">
        <v>223</v>
      </c>
      <c r="F69" s="263" t="s">
        <v>1189</v>
      </c>
      <c r="G69" s="338" t="s">
        <v>1377</v>
      </c>
      <c r="H69" s="338" t="s">
        <v>2191</v>
      </c>
      <c r="I69" s="340" t="s">
        <v>2573</v>
      </c>
    </row>
    <row r="70" spans="1:9" s="334" customFormat="1" ht="13.15">
      <c r="A70" s="334">
        <f t="shared" si="4"/>
        <v>67</v>
      </c>
      <c r="B70" s="337" t="str">
        <f>IF(ISBLANK(VLOOKUP(A70,$C$4:$V$10001,1+$A$1)),D70,VLOOKUP(A70,$C$4:$V$10001,1+$A$1))</f>
        <v>Smooth</v>
      </c>
      <c r="C70" s="334">
        <f t="shared" ref="C70:C133" si="5">+C69+1</f>
        <v>67</v>
      </c>
      <c r="D70" s="263" t="s">
        <v>164</v>
      </c>
      <c r="E70" s="263" t="s">
        <v>810</v>
      </c>
      <c r="F70" s="263" t="s">
        <v>1208</v>
      </c>
      <c r="G70" s="338" t="s">
        <v>1392</v>
      </c>
      <c r="H70" s="338" t="s">
        <v>2190</v>
      </c>
      <c r="I70" s="338" t="s">
        <v>2574</v>
      </c>
    </row>
    <row r="71" spans="1:9" s="334" customFormat="1" ht="13.15">
      <c r="A71" s="334">
        <f t="shared" si="4"/>
        <v>68</v>
      </c>
      <c r="B71" s="337" t="str">
        <f>IF(ISBLANK(VLOOKUP(A71,$C$4:$V$10001,1+$A$1)),D71,VLOOKUP(A71,$C$4:$V$10001,1+$A$1))</f>
        <v>No Ramps</v>
      </c>
      <c r="C71" s="334">
        <f t="shared" si="5"/>
        <v>68</v>
      </c>
      <c r="D71" s="263" t="s">
        <v>165</v>
      </c>
      <c r="E71" s="263" t="s">
        <v>811</v>
      </c>
      <c r="F71" s="263" t="s">
        <v>1209</v>
      </c>
      <c r="G71" s="338" t="s">
        <v>1393</v>
      </c>
      <c r="H71" s="338" t="s">
        <v>2189</v>
      </c>
      <c r="I71" s="338" t="s">
        <v>2575</v>
      </c>
    </row>
    <row r="72" spans="1:9" s="334" customFormat="1" ht="13.15">
      <c r="A72" s="334">
        <f t="shared" si="4"/>
        <v>69</v>
      </c>
      <c r="B72" s="337"/>
      <c r="C72" s="334">
        <f t="shared" si="5"/>
        <v>69</v>
      </c>
      <c r="D72" s="263"/>
      <c r="E72" s="263"/>
      <c r="F72" s="263"/>
      <c r="G72" s="338"/>
      <c r="H72" s="338"/>
      <c r="I72" s="338"/>
    </row>
    <row r="73" spans="1:9" s="334" customFormat="1" ht="13.15">
      <c r="A73" s="334">
        <f t="shared" si="4"/>
        <v>70</v>
      </c>
      <c r="B73" s="337" t="str">
        <f>IF(ISBLANK(VLOOKUP(A73,$C$4:$V$10001,1+$A$1)),D73,VLOOKUP(A73,$C$4:$V$10001,1+$A$1))</f>
        <v>&lt; 2.00m</v>
      </c>
      <c r="C73" s="334">
        <f t="shared" si="5"/>
        <v>70</v>
      </c>
      <c r="D73" s="263" t="s">
        <v>187</v>
      </c>
      <c r="E73" s="263" t="s">
        <v>187</v>
      </c>
      <c r="F73" s="263" t="s">
        <v>187</v>
      </c>
      <c r="G73" s="338" t="s">
        <v>187</v>
      </c>
      <c r="H73" s="338" t="s">
        <v>187</v>
      </c>
      <c r="I73" s="338" t="s">
        <v>187</v>
      </c>
    </row>
    <row r="74" spans="1:9" s="334" customFormat="1" ht="13.15">
      <c r="A74" s="334">
        <f t="shared" si="4"/>
        <v>71</v>
      </c>
      <c r="B74" s="337" t="str">
        <f>IF(ISBLANK(VLOOKUP(A74,$C$4:$V$10001,1+$A$1)),D74,VLOOKUP(A74,$C$4:$V$10001,1+$A$1))</f>
        <v>2.00m – 2.10m</v>
      </c>
      <c r="C74" s="334">
        <f t="shared" si="5"/>
        <v>71</v>
      </c>
      <c r="D74" s="263" t="s">
        <v>190</v>
      </c>
      <c r="E74" s="263" t="s">
        <v>870</v>
      </c>
      <c r="F74" s="263" t="s">
        <v>190</v>
      </c>
      <c r="G74" s="338" t="s">
        <v>190</v>
      </c>
      <c r="H74" s="338" t="s">
        <v>190</v>
      </c>
      <c r="I74" s="338" t="s">
        <v>190</v>
      </c>
    </row>
    <row r="75" spans="1:9" s="334" customFormat="1" ht="13.15">
      <c r="A75" s="334">
        <f t="shared" si="4"/>
        <v>72</v>
      </c>
      <c r="B75" s="337" t="str">
        <f>IF(ISBLANK(VLOOKUP(A75,$C$4:$V$10001,1+$A$1)),D75,VLOOKUP(A75,$C$4:$V$10001,1+$A$1))</f>
        <v>2.10m – 2.20m</v>
      </c>
      <c r="C75" s="334">
        <f t="shared" si="5"/>
        <v>72</v>
      </c>
      <c r="D75" s="263" t="s">
        <v>188</v>
      </c>
      <c r="E75" s="263" t="s">
        <v>871</v>
      </c>
      <c r="F75" s="263" t="s">
        <v>188</v>
      </c>
      <c r="G75" s="338" t="s">
        <v>188</v>
      </c>
      <c r="H75" s="338" t="s">
        <v>188</v>
      </c>
      <c r="I75" s="338" t="s">
        <v>188</v>
      </c>
    </row>
    <row r="76" spans="1:9" s="334" customFormat="1" ht="13.15">
      <c r="A76" s="334">
        <f t="shared" si="4"/>
        <v>73</v>
      </c>
      <c r="B76" s="337" t="str">
        <f>IF(ISBLANK(VLOOKUP(A76,$C$4:$V$10001,1+$A$1)),D76,VLOOKUP(A76,$C$4:$V$10001,1+$A$1))</f>
        <v>&gt; 2.20m</v>
      </c>
      <c r="C76" s="334">
        <f t="shared" si="5"/>
        <v>73</v>
      </c>
      <c r="D76" s="263" t="s">
        <v>189</v>
      </c>
      <c r="E76" s="263" t="s">
        <v>189</v>
      </c>
      <c r="F76" s="263" t="s">
        <v>189</v>
      </c>
      <c r="G76" s="338" t="s">
        <v>189</v>
      </c>
      <c r="H76" s="338" t="s">
        <v>189</v>
      </c>
      <c r="I76" s="338" t="s">
        <v>189</v>
      </c>
    </row>
    <row r="77" spans="1:9" s="334" customFormat="1" ht="13.15">
      <c r="A77" s="334">
        <f t="shared" si="4"/>
        <v>74</v>
      </c>
      <c r="B77" s="337"/>
      <c r="C77" s="334">
        <f t="shared" si="5"/>
        <v>74</v>
      </c>
      <c r="D77" s="263"/>
      <c r="E77" s="263"/>
      <c r="F77" s="263"/>
      <c r="G77" s="338"/>
      <c r="H77" s="338"/>
      <c r="I77" s="338"/>
    </row>
    <row r="78" spans="1:9" s="334" customFormat="1" ht="13.15">
      <c r="A78" s="334">
        <f t="shared" si="4"/>
        <v>75</v>
      </c>
      <c r="B78" s="337" t="str">
        <f>IF(ISBLANK(VLOOKUP(A78,$C$4:$V$10001,1+$A$1)),D78,VLOOKUP(A78,$C$4:$V$10001,1+$A$1))</f>
        <v>Yes (automatic or open connection)</v>
      </c>
      <c r="C78" s="334">
        <f t="shared" si="5"/>
        <v>75</v>
      </c>
      <c r="D78" s="263" t="s">
        <v>191</v>
      </c>
      <c r="E78" s="263" t="s">
        <v>812</v>
      </c>
      <c r="F78" s="263" t="s">
        <v>1210</v>
      </c>
      <c r="G78" s="338" t="s">
        <v>1394</v>
      </c>
      <c r="H78" s="338" t="s">
        <v>2188</v>
      </c>
      <c r="I78" s="338" t="s">
        <v>2576</v>
      </c>
    </row>
    <row r="79" spans="1:9" s="334" customFormat="1" ht="13.15">
      <c r="A79" s="334">
        <f t="shared" si="4"/>
        <v>76</v>
      </c>
      <c r="B79" s="337" t="str">
        <f>IF(ISBLANK(VLOOKUP(A79,$C$4:$V$10001,1+$A$1)),D79,VLOOKUP(A79,$C$4:$V$10001,1+$A$1))</f>
        <v>Easy to Open</v>
      </c>
      <c r="C79" s="334">
        <f t="shared" si="5"/>
        <v>76</v>
      </c>
      <c r="D79" s="263" t="s">
        <v>192</v>
      </c>
      <c r="E79" s="263" t="s">
        <v>813</v>
      </c>
      <c r="F79" s="263" t="s">
        <v>1211</v>
      </c>
      <c r="G79" s="338" t="s">
        <v>1395</v>
      </c>
      <c r="H79" s="338" t="s">
        <v>2187</v>
      </c>
      <c r="I79" s="338" t="s">
        <v>2577</v>
      </c>
    </row>
    <row r="80" spans="1:9" s="334" customFormat="1" ht="13.15">
      <c r="A80" s="334">
        <f t="shared" si="4"/>
        <v>77</v>
      </c>
      <c r="B80" s="337" t="str">
        <f>IF(ISBLANK(VLOOKUP(A80,$C$4:$V$10001,1+$A$1)),D80,VLOOKUP(A80,$C$4:$V$10001,1+$A$1))</f>
        <v>No</v>
      </c>
      <c r="C80" s="334">
        <f t="shared" si="5"/>
        <v>77</v>
      </c>
      <c r="D80" s="263" t="s">
        <v>131</v>
      </c>
      <c r="E80" s="263" t="s">
        <v>792</v>
      </c>
      <c r="F80" s="263"/>
      <c r="G80" s="338" t="s">
        <v>1369</v>
      </c>
      <c r="H80" s="338" t="s">
        <v>131</v>
      </c>
      <c r="I80" s="338" t="s">
        <v>2551</v>
      </c>
    </row>
    <row r="81" spans="1:9" s="334" customFormat="1" ht="13.15">
      <c r="A81" s="334">
        <f t="shared" si="4"/>
        <v>78</v>
      </c>
      <c r="B81" s="337"/>
      <c r="C81" s="334">
        <f t="shared" si="5"/>
        <v>78</v>
      </c>
      <c r="D81" s="263"/>
      <c r="E81" s="263"/>
      <c r="F81" s="263"/>
      <c r="G81" s="338"/>
      <c r="H81" s="338"/>
      <c r="I81" s="338"/>
    </row>
    <row r="82" spans="1:9" s="334" customFormat="1" ht="13.15">
      <c r="A82" s="334">
        <f t="shared" si="4"/>
        <v>79</v>
      </c>
      <c r="B82" s="337" t="str">
        <f>IF(ISBLANK(VLOOKUP(A82,$C$4:$V$10001,1+$A$1)),D82,VLOOKUP(A82,$C$4:$V$10001,1+$A$1))</f>
        <v>Every pedestrian exit</v>
      </c>
      <c r="C82" s="334">
        <f t="shared" si="5"/>
        <v>79</v>
      </c>
      <c r="D82" s="263" t="s">
        <v>195</v>
      </c>
      <c r="E82" s="263" t="s">
        <v>814</v>
      </c>
      <c r="F82" s="263" t="s">
        <v>1212</v>
      </c>
      <c r="G82" s="338" t="s">
        <v>1396</v>
      </c>
      <c r="H82" s="338" t="s">
        <v>2186</v>
      </c>
      <c r="I82" s="340" t="s">
        <v>2578</v>
      </c>
    </row>
    <row r="83" spans="1:9" s="334" customFormat="1" ht="13.15">
      <c r="A83" s="334">
        <f t="shared" si="4"/>
        <v>80</v>
      </c>
      <c r="B83" s="337" t="str">
        <f>IF(ISBLANK(VLOOKUP(A83,$C$4:$V$10001,1+$A$1)),D83,VLOOKUP(A83,$C$4:$V$10001,1+$A$1))</f>
        <v>One location</v>
      </c>
      <c r="C83" s="334">
        <f t="shared" si="5"/>
        <v>80</v>
      </c>
      <c r="D83" s="263" t="s">
        <v>196</v>
      </c>
      <c r="E83" s="263" t="s">
        <v>1834</v>
      </c>
      <c r="F83" s="263" t="s">
        <v>1213</v>
      </c>
      <c r="G83" s="338" t="s">
        <v>1397</v>
      </c>
      <c r="H83" s="338" t="s">
        <v>2185</v>
      </c>
      <c r="I83" s="338" t="s">
        <v>2579</v>
      </c>
    </row>
    <row r="84" spans="1:9" s="334" customFormat="1" ht="13.15">
      <c r="A84" s="334">
        <f t="shared" si="4"/>
        <v>81</v>
      </c>
      <c r="B84" s="337" t="str">
        <f>IF(ISBLANK(VLOOKUP(A84,$C$4:$V$10001,1+$A$1)),D84,VLOOKUP(A84,$C$4:$V$10001,1+$A$1))</f>
        <v>No</v>
      </c>
      <c r="C84" s="334">
        <f t="shared" si="5"/>
        <v>81</v>
      </c>
      <c r="D84" s="263" t="s">
        <v>131</v>
      </c>
      <c r="E84" s="263" t="s">
        <v>792</v>
      </c>
      <c r="F84" s="263" t="s">
        <v>1214</v>
      </c>
      <c r="G84" s="338" t="s">
        <v>1369</v>
      </c>
      <c r="H84" s="338" t="s">
        <v>131</v>
      </c>
      <c r="I84" s="338" t="s">
        <v>2551</v>
      </c>
    </row>
    <row r="85" spans="1:9" s="334" customFormat="1" ht="13.15">
      <c r="A85" s="334">
        <f t="shared" si="4"/>
        <v>82</v>
      </c>
      <c r="B85" s="337"/>
      <c r="C85" s="334">
        <f t="shared" si="5"/>
        <v>82</v>
      </c>
      <c r="D85" s="263"/>
      <c r="E85" s="263"/>
      <c r="F85" s="263"/>
      <c r="G85" s="338"/>
      <c r="H85" s="338"/>
      <c r="I85" s="338"/>
    </row>
    <row r="86" spans="1:9" s="334" customFormat="1" ht="13.15">
      <c r="A86" s="334">
        <f t="shared" si="4"/>
        <v>83</v>
      </c>
      <c r="B86" s="337" t="str">
        <f>IF(ISBLANK(VLOOKUP(A86,$C$4:$V$10001,1+$A$1)),D86,VLOOKUP(A86,$C$4:$V$10001,1+$A$1))</f>
        <v>One elevator</v>
      </c>
      <c r="C86" s="334">
        <f t="shared" si="5"/>
        <v>83</v>
      </c>
      <c r="D86" s="263" t="s">
        <v>201</v>
      </c>
      <c r="E86" s="263" t="s">
        <v>1835</v>
      </c>
      <c r="F86" s="263" t="s">
        <v>1215</v>
      </c>
      <c r="G86" s="338" t="s">
        <v>1398</v>
      </c>
      <c r="H86" s="338" t="s">
        <v>2184</v>
      </c>
      <c r="I86" s="338" t="s">
        <v>2580</v>
      </c>
    </row>
    <row r="87" spans="1:9" s="334" customFormat="1" ht="13.15">
      <c r="A87" s="334">
        <f t="shared" si="4"/>
        <v>84</v>
      </c>
      <c r="B87" s="337" t="str">
        <f>IF(ISBLANK(VLOOKUP(A87,$C$4:$V$10001,1+$A$1)),D87,VLOOKUP(A87,$C$4:$V$10001,1+$A$1))</f>
        <v>Two or more elevators</v>
      </c>
      <c r="C87" s="334">
        <f t="shared" si="5"/>
        <v>84</v>
      </c>
      <c r="D87" s="263" t="s">
        <v>202</v>
      </c>
      <c r="E87" s="263" t="s">
        <v>815</v>
      </c>
      <c r="F87" s="263" t="s">
        <v>1216</v>
      </c>
      <c r="G87" s="338" t="s">
        <v>1399</v>
      </c>
      <c r="H87" s="338" t="s">
        <v>2183</v>
      </c>
      <c r="I87" s="338" t="s">
        <v>2581</v>
      </c>
    </row>
    <row r="88" spans="1:9" s="334" customFormat="1" ht="13.15">
      <c r="A88" s="334">
        <f t="shared" si="4"/>
        <v>85</v>
      </c>
      <c r="B88" s="337"/>
      <c r="C88" s="334">
        <f t="shared" si="5"/>
        <v>85</v>
      </c>
      <c r="D88" s="263"/>
      <c r="E88" s="263"/>
      <c r="F88" s="263"/>
      <c r="G88" s="338"/>
      <c r="H88" s="338"/>
      <c r="I88" s="338"/>
    </row>
    <row r="89" spans="1:9" s="334" customFormat="1" ht="13.15">
      <c r="A89" s="334">
        <f t="shared" si="4"/>
        <v>86</v>
      </c>
      <c r="B89" s="337" t="str">
        <f>IF(ISBLANK(VLOOKUP(A89,$C$4:$V$10001,1+$A$1)),D89,VLOOKUP(A89,$C$4:$V$10001,1+$A$1))</f>
        <v>More Than 8 People</v>
      </c>
      <c r="C89" s="334">
        <f t="shared" si="5"/>
        <v>86</v>
      </c>
      <c r="D89" s="263" t="s">
        <v>204</v>
      </c>
      <c r="E89" s="263" t="s">
        <v>816</v>
      </c>
      <c r="F89" s="263" t="s">
        <v>1217</v>
      </c>
      <c r="G89" s="338" t="s">
        <v>1400</v>
      </c>
      <c r="H89" s="338" t="s">
        <v>2182</v>
      </c>
      <c r="I89" s="338" t="s">
        <v>2582</v>
      </c>
    </row>
    <row r="90" spans="1:9" s="334" customFormat="1" ht="13.15">
      <c r="A90" s="334">
        <f t="shared" si="4"/>
        <v>87</v>
      </c>
      <c r="B90" s="337" t="str">
        <f>IF(ISBLANK(VLOOKUP(A90,$C$4:$V$10001,1+$A$1)),D90,VLOOKUP(A90,$C$4:$V$10001,1+$A$1))</f>
        <v>4 to 8 people</v>
      </c>
      <c r="C90" s="334">
        <f t="shared" si="5"/>
        <v>87</v>
      </c>
      <c r="D90" s="263" t="s">
        <v>205</v>
      </c>
      <c r="E90" s="263" t="s">
        <v>872</v>
      </c>
      <c r="F90" s="263" t="s">
        <v>1218</v>
      </c>
      <c r="G90" s="338" t="s">
        <v>1401</v>
      </c>
      <c r="H90" s="338" t="s">
        <v>2181</v>
      </c>
      <c r="I90" s="338" t="s">
        <v>2583</v>
      </c>
    </row>
    <row r="91" spans="1:9" s="334" customFormat="1" ht="13.15">
      <c r="A91" s="334">
        <f t="shared" si="4"/>
        <v>88</v>
      </c>
      <c r="B91" s="337" t="str">
        <f>IF(ISBLANK(VLOOKUP(A91,$C$4:$V$10001,1+$A$1)),D91,VLOOKUP(A91,$C$4:$V$10001,1+$A$1))</f>
        <v>Less Than 4</v>
      </c>
      <c r="C91" s="334">
        <f t="shared" si="5"/>
        <v>88</v>
      </c>
      <c r="D91" s="263" t="s">
        <v>206</v>
      </c>
      <c r="E91" s="263" t="s">
        <v>817</v>
      </c>
      <c r="F91" s="263" t="s">
        <v>1219</v>
      </c>
      <c r="G91" s="338" t="s">
        <v>1402</v>
      </c>
      <c r="H91" s="338" t="s">
        <v>2180</v>
      </c>
      <c r="I91" s="338" t="s">
        <v>2584</v>
      </c>
    </row>
    <row r="92" spans="1:9" s="334" customFormat="1" ht="13.15">
      <c r="A92" s="334">
        <f t="shared" si="4"/>
        <v>89</v>
      </c>
      <c r="B92" s="337"/>
      <c r="C92" s="334">
        <f t="shared" si="5"/>
        <v>89</v>
      </c>
      <c r="D92" s="263"/>
      <c r="E92" s="263"/>
      <c r="F92" s="263"/>
      <c r="G92" s="338"/>
      <c r="H92" s="338"/>
      <c r="I92" s="338"/>
    </row>
    <row r="93" spans="1:9" s="334" customFormat="1" ht="13.15">
      <c r="A93" s="334">
        <f t="shared" si="4"/>
        <v>90</v>
      </c>
      <c r="B93" s="337" t="str">
        <f>IF(ISBLANK(VLOOKUP(A93,$C$4:$V$10001,1+$A$1)),D93,VLOOKUP(A93,$C$4:$V$10001,1+$A$1))</f>
        <v>no visibility from elevator</v>
      </c>
      <c r="C93" s="334">
        <f t="shared" si="5"/>
        <v>90</v>
      </c>
      <c r="D93" s="263" t="s">
        <v>207</v>
      </c>
      <c r="E93" s="263" t="s">
        <v>818</v>
      </c>
      <c r="F93" s="263" t="s">
        <v>1220</v>
      </c>
      <c r="G93" s="187" t="s">
        <v>1403</v>
      </c>
      <c r="H93" s="187" t="s">
        <v>2179</v>
      </c>
      <c r="I93" s="294" t="s">
        <v>2585</v>
      </c>
    </row>
    <row r="94" spans="1:9" s="334" customFormat="1" ht="13.15">
      <c r="A94" s="334">
        <f t="shared" si="4"/>
        <v>91</v>
      </c>
      <c r="B94" s="337" t="str">
        <f>IF(ISBLANK(VLOOKUP(A94,$C$4:$V$10001,1+$A$1)),D94,VLOOKUP(A94,$C$4:$V$10001,1+$A$1))</f>
        <v>glazed doors/walls</v>
      </c>
      <c r="C94" s="334">
        <f t="shared" si="5"/>
        <v>91</v>
      </c>
      <c r="D94" s="263" t="s">
        <v>208</v>
      </c>
      <c r="E94" s="263" t="s">
        <v>819</v>
      </c>
      <c r="F94" s="263" t="s">
        <v>1221</v>
      </c>
      <c r="G94" s="187" t="s">
        <v>1404</v>
      </c>
      <c r="H94" s="187" t="s">
        <v>2178</v>
      </c>
      <c r="I94" s="294" t="s">
        <v>2586</v>
      </c>
    </row>
    <row r="95" spans="1:9" s="334" customFormat="1" ht="13.15">
      <c r="A95" s="334">
        <f t="shared" si="4"/>
        <v>92</v>
      </c>
      <c r="B95" s="337" t="str">
        <f>IF(ISBLANK(VLOOKUP(A95,$C$4:$V$10001,1+$A$1)),D95,VLOOKUP(A95,$C$4:$V$10001,1+$A$1))</f>
        <v>no elevator</v>
      </c>
      <c r="C95" s="334">
        <f t="shared" si="5"/>
        <v>92</v>
      </c>
      <c r="D95" s="263" t="s">
        <v>200</v>
      </c>
      <c r="E95" s="263" t="s">
        <v>820</v>
      </c>
      <c r="F95" s="263" t="s">
        <v>1222</v>
      </c>
      <c r="G95" s="187" t="s">
        <v>1405</v>
      </c>
      <c r="H95" s="187" t="s">
        <v>2177</v>
      </c>
      <c r="I95" s="294" t="s">
        <v>2587</v>
      </c>
    </row>
    <row r="96" spans="1:9" s="334" customFormat="1" ht="13.15">
      <c r="A96" s="334">
        <f t="shared" si="4"/>
        <v>93</v>
      </c>
      <c r="B96" s="337"/>
      <c r="C96" s="334">
        <f t="shared" si="5"/>
        <v>93</v>
      </c>
      <c r="D96" s="264"/>
      <c r="E96" s="264"/>
      <c r="F96" s="264"/>
      <c r="G96" s="188"/>
      <c r="H96" s="188"/>
      <c r="I96" s="298"/>
    </row>
    <row r="97" spans="1:9" s="334" customFormat="1" ht="13.15">
      <c r="A97" s="334">
        <f t="shared" si="4"/>
        <v>94</v>
      </c>
      <c r="B97" s="337" t="str">
        <f>IF(ISBLANK(VLOOKUP(A97,$C$4:$V$10001,1+$A$1)),D97,VLOOKUP(A97,$C$4:$V$10001,1+$A$1))</f>
        <v>&lt; 1.5 m</v>
      </c>
      <c r="C97" s="334">
        <f t="shared" si="5"/>
        <v>94</v>
      </c>
      <c r="D97" s="263" t="s">
        <v>257</v>
      </c>
      <c r="E97" s="263" t="s">
        <v>257</v>
      </c>
      <c r="F97" s="263" t="s">
        <v>257</v>
      </c>
      <c r="G97" s="188" t="s">
        <v>257</v>
      </c>
      <c r="H97" s="188" t="s">
        <v>257</v>
      </c>
      <c r="I97" s="298" t="s">
        <v>257</v>
      </c>
    </row>
    <row r="98" spans="1:9" s="334" customFormat="1" ht="13.15">
      <c r="A98" s="334">
        <f t="shared" si="4"/>
        <v>95</v>
      </c>
      <c r="B98" s="337" t="str">
        <f>IF(ISBLANK(VLOOKUP(A98,$C$4:$V$10001,1+$A$1)),D98,VLOOKUP(A98,$C$4:$V$10001,1+$A$1))</f>
        <v>&gt; 1.5 m</v>
      </c>
      <c r="C98" s="334">
        <f t="shared" si="5"/>
        <v>95</v>
      </c>
      <c r="D98" s="263" t="s">
        <v>258</v>
      </c>
      <c r="E98" s="263" t="s">
        <v>258</v>
      </c>
      <c r="F98" s="263" t="s">
        <v>258</v>
      </c>
      <c r="G98" s="187" t="s">
        <v>258</v>
      </c>
      <c r="H98" s="187" t="s">
        <v>258</v>
      </c>
      <c r="I98" s="294" t="s">
        <v>258</v>
      </c>
    </row>
    <row r="99" spans="1:9" s="334" customFormat="1" ht="13.15">
      <c r="A99" s="334">
        <f t="shared" si="4"/>
        <v>96</v>
      </c>
      <c r="B99" s="337"/>
      <c r="C99" s="334">
        <f t="shared" si="5"/>
        <v>96</v>
      </c>
      <c r="D99" s="263"/>
      <c r="E99" s="263"/>
      <c r="F99" s="263"/>
      <c r="G99" s="187"/>
      <c r="H99" s="187"/>
      <c r="I99" s="294"/>
    </row>
    <row r="100" spans="1:9" s="334" customFormat="1" ht="13.15">
      <c r="A100" s="334">
        <f t="shared" si="4"/>
        <v>97</v>
      </c>
      <c r="B100" s="337" t="str">
        <f>IF(ISBLANK(VLOOKUP(A100,$C$4:$V$10001,1+$A$1)),D100,VLOOKUP(A100,$C$4:$V$10001,1+$A$1))</f>
        <v>&lt; 90 cm</v>
      </c>
      <c r="C100" s="334">
        <f t="shared" si="5"/>
        <v>97</v>
      </c>
      <c r="D100" s="263" t="s">
        <v>250</v>
      </c>
      <c r="E100" s="263" t="s">
        <v>250</v>
      </c>
      <c r="F100" s="263" t="s">
        <v>250</v>
      </c>
      <c r="G100" s="187" t="s">
        <v>250</v>
      </c>
      <c r="H100" s="187" t="s">
        <v>250</v>
      </c>
      <c r="I100" s="294" t="s">
        <v>250</v>
      </c>
    </row>
    <row r="101" spans="1:9" s="334" customFormat="1" ht="13.15">
      <c r="A101" s="334">
        <f t="shared" si="4"/>
        <v>98</v>
      </c>
      <c r="B101" s="337" t="str">
        <f>IF(ISBLANK(VLOOKUP(A101,$C$4:$V$10001,1+$A$1)),D101,VLOOKUP(A101,$C$4:$V$10001,1+$A$1))</f>
        <v>&gt;= 90 cm</v>
      </c>
      <c r="C101" s="334">
        <f t="shared" si="5"/>
        <v>98</v>
      </c>
      <c r="D101" s="263" t="s">
        <v>503</v>
      </c>
      <c r="E101" s="263" t="s">
        <v>503</v>
      </c>
      <c r="F101" s="263" t="s">
        <v>503</v>
      </c>
      <c r="G101" s="338" t="s">
        <v>503</v>
      </c>
      <c r="H101" s="338" t="s">
        <v>503</v>
      </c>
      <c r="I101" s="338" t="s">
        <v>503</v>
      </c>
    </row>
    <row r="102" spans="1:9" s="334" customFormat="1" ht="13.15">
      <c r="A102" s="334">
        <f t="shared" si="4"/>
        <v>99</v>
      </c>
      <c r="B102" s="337"/>
      <c r="C102" s="334">
        <f t="shared" si="5"/>
        <v>99</v>
      </c>
      <c r="D102" s="263"/>
      <c r="E102" s="263"/>
      <c r="F102" s="263"/>
      <c r="G102" s="338"/>
      <c r="H102" s="338"/>
      <c r="I102" s="338"/>
    </row>
    <row r="103" spans="1:9" s="334" customFormat="1" ht="13.15">
      <c r="A103" s="334">
        <f t="shared" si="4"/>
        <v>100</v>
      </c>
      <c r="B103" s="337" t="str">
        <f>IF(ISBLANK(VLOOKUP(A103,$C$4:$V$10001,1+$A$1)),D103,VLOOKUP(A103,$C$4:$V$10001,1+$A$1))</f>
        <v>Glazed door/wall</v>
      </c>
      <c r="C103" s="334">
        <f t="shared" si="5"/>
        <v>100</v>
      </c>
      <c r="D103" s="263" t="s">
        <v>251</v>
      </c>
      <c r="E103" s="263" t="s">
        <v>821</v>
      </c>
      <c r="F103" s="263" t="s">
        <v>1221</v>
      </c>
      <c r="G103" s="338" t="s">
        <v>1404</v>
      </c>
      <c r="H103" s="338" t="s">
        <v>2176</v>
      </c>
      <c r="I103" s="338" t="s">
        <v>2588</v>
      </c>
    </row>
    <row r="104" spans="1:9" s="334" customFormat="1" ht="13.15">
      <c r="A104" s="334">
        <f t="shared" si="4"/>
        <v>101</v>
      </c>
      <c r="B104" s="337" t="str">
        <f>IF(ISBLANK(VLOOKUP(A104,$C$4:$V$10001,1+$A$1)),D104,VLOOKUP(A104,$C$4:$V$10001,1+$A$1))</f>
        <v>No Glass</v>
      </c>
      <c r="C104" s="334">
        <f t="shared" si="5"/>
        <v>101</v>
      </c>
      <c r="D104" s="263" t="s">
        <v>252</v>
      </c>
      <c r="E104" s="263" t="s">
        <v>822</v>
      </c>
      <c r="F104" s="263" t="s">
        <v>1223</v>
      </c>
      <c r="G104" s="338" t="s">
        <v>1406</v>
      </c>
      <c r="H104" s="338" t="s">
        <v>2175</v>
      </c>
      <c r="I104" s="338" t="s">
        <v>2589</v>
      </c>
    </row>
    <row r="105" spans="1:9" s="334" customFormat="1" ht="13.15">
      <c r="A105" s="334">
        <f t="shared" si="4"/>
        <v>102</v>
      </c>
      <c r="B105" s="337"/>
      <c r="C105" s="334">
        <f t="shared" si="5"/>
        <v>102</v>
      </c>
      <c r="D105" s="263"/>
      <c r="E105" s="263"/>
      <c r="F105" s="263"/>
      <c r="G105" s="338"/>
      <c r="H105" s="338"/>
      <c r="I105" s="338"/>
    </row>
    <row r="106" spans="1:9" s="334" customFormat="1" ht="13.15">
      <c r="A106" s="334">
        <f t="shared" si="4"/>
        <v>103</v>
      </c>
      <c r="B106" s="337" t="str">
        <f>IF(ISBLANK(VLOOKUP(A106,$C$4:$V$10001,1+$A$1)),D106,VLOOKUP(A106,$C$4:$V$10001,1+$A$1))</f>
        <v>No hand rail</v>
      </c>
      <c r="C106" s="334">
        <f t="shared" si="5"/>
        <v>103</v>
      </c>
      <c r="D106" s="263" t="s">
        <v>259</v>
      </c>
      <c r="E106" s="263" t="s">
        <v>823</v>
      </c>
      <c r="F106" s="263" t="s">
        <v>1224</v>
      </c>
      <c r="G106" s="338" t="s">
        <v>1407</v>
      </c>
      <c r="H106" s="338" t="s">
        <v>2174</v>
      </c>
      <c r="I106" s="338" t="s">
        <v>2590</v>
      </c>
    </row>
    <row r="107" spans="1:9" s="334" customFormat="1" ht="13.15">
      <c r="A107" s="334">
        <f t="shared" si="4"/>
        <v>104</v>
      </c>
      <c r="B107" s="337" t="str">
        <f>IF(ISBLANK(VLOOKUP(A107,$C$4:$V$10001,1+$A$1)),D107,VLOOKUP(A107,$C$4:$V$10001,1+$A$1))</f>
        <v>One Side</v>
      </c>
      <c r="C107" s="334">
        <f t="shared" si="5"/>
        <v>104</v>
      </c>
      <c r="D107" s="263" t="s">
        <v>260</v>
      </c>
      <c r="E107" s="263" t="s">
        <v>1836</v>
      </c>
      <c r="F107" s="263" t="s">
        <v>1225</v>
      </c>
      <c r="G107" s="338" t="s">
        <v>1408</v>
      </c>
      <c r="H107" s="338" t="s">
        <v>2173</v>
      </c>
      <c r="I107" s="338" t="s">
        <v>2591</v>
      </c>
    </row>
    <row r="108" spans="1:9" s="334" customFormat="1" ht="13.15">
      <c r="A108" s="334">
        <f t="shared" si="4"/>
        <v>105</v>
      </c>
      <c r="B108" s="337" t="str">
        <f>IF(ISBLANK(VLOOKUP(A108,$C$4:$V$10001,1+$A$1)),D108,VLOOKUP(A108,$C$4:$V$10001,1+$A$1))</f>
        <v>Two sides</v>
      </c>
      <c r="C108" s="334">
        <f t="shared" si="5"/>
        <v>105</v>
      </c>
      <c r="D108" s="263" t="s">
        <v>261</v>
      </c>
      <c r="E108" s="263" t="s">
        <v>824</v>
      </c>
      <c r="F108" s="263" t="s">
        <v>1226</v>
      </c>
      <c r="G108" s="338" t="s">
        <v>1409</v>
      </c>
      <c r="H108" s="338" t="s">
        <v>2172</v>
      </c>
      <c r="I108" s="338" t="s">
        <v>2592</v>
      </c>
    </row>
    <row r="109" spans="1:9" s="334" customFormat="1" ht="13.15">
      <c r="A109" s="334">
        <f t="shared" si="4"/>
        <v>106</v>
      </c>
      <c r="B109" s="337"/>
      <c r="C109" s="334">
        <f t="shared" si="5"/>
        <v>106</v>
      </c>
      <c r="D109" s="263"/>
      <c r="E109" s="263"/>
      <c r="F109" s="263"/>
      <c r="G109" s="338"/>
      <c r="H109" s="338"/>
      <c r="I109" s="338"/>
    </row>
    <row r="110" spans="1:9" s="334" customFormat="1" ht="13.15">
      <c r="A110" s="334">
        <f t="shared" si="4"/>
        <v>107</v>
      </c>
      <c r="B110" s="337" t="str">
        <f>IF(ISBLANK(VLOOKUP(A110,$C$4:$V$10001,1+$A$1)),D110,VLOOKUP(A110,$C$4:$V$10001,1+$A$1))</f>
        <v>window/grilled</v>
      </c>
      <c r="C110" s="334">
        <f t="shared" si="5"/>
        <v>107</v>
      </c>
      <c r="D110" s="263" t="s">
        <v>263</v>
      </c>
      <c r="E110" s="263" t="s">
        <v>825</v>
      </c>
      <c r="F110" s="263" t="s">
        <v>1227</v>
      </c>
      <c r="G110" s="338" t="s">
        <v>1410</v>
      </c>
      <c r="H110" s="338" t="s">
        <v>2171</v>
      </c>
      <c r="I110" s="338" t="s">
        <v>2593</v>
      </c>
    </row>
    <row r="111" spans="1:9" s="334" customFormat="1" ht="13.15">
      <c r="A111" s="334">
        <f t="shared" si="4"/>
        <v>108</v>
      </c>
      <c r="B111" s="337" t="str">
        <f>IF(ISBLANK(VLOOKUP(A111,$C$4:$V$10001,1+$A$1)),D111,VLOOKUP(A111,$C$4:$V$10001,1+$A$1))</f>
        <v>none</v>
      </c>
      <c r="C111" s="334">
        <f t="shared" si="5"/>
        <v>108</v>
      </c>
      <c r="D111" s="263" t="s">
        <v>262</v>
      </c>
      <c r="E111" s="263" t="s">
        <v>826</v>
      </c>
      <c r="F111" s="263" t="s">
        <v>1228</v>
      </c>
      <c r="G111" s="338" t="s">
        <v>1411</v>
      </c>
      <c r="H111" s="338" t="s">
        <v>2142</v>
      </c>
      <c r="I111" s="338" t="s">
        <v>2594</v>
      </c>
    </row>
    <row r="112" spans="1:9" s="334" customFormat="1" ht="13.15">
      <c r="A112" s="334">
        <f t="shared" si="4"/>
        <v>109</v>
      </c>
      <c r="B112" s="337"/>
      <c r="C112" s="334">
        <f t="shared" si="5"/>
        <v>109</v>
      </c>
      <c r="D112" s="263"/>
      <c r="E112" s="263"/>
      <c r="F112" s="263"/>
      <c r="G112" s="338"/>
      <c r="H112" s="338"/>
      <c r="I112" s="338"/>
    </row>
    <row r="113" spans="1:9" s="334" customFormat="1" ht="13.15">
      <c r="A113" s="334">
        <f t="shared" si="4"/>
        <v>110</v>
      </c>
      <c r="B113" s="337" t="str">
        <f>IF(ISBLANK(VLOOKUP(A113,$C$4:$V$10001,1+$A$1)),D113,VLOOKUP(A113,$C$4:$V$10001,1+$A$1))</f>
        <v>24*7</v>
      </c>
      <c r="C113" s="334">
        <f t="shared" si="5"/>
        <v>110</v>
      </c>
      <c r="D113" s="263" t="s">
        <v>295</v>
      </c>
      <c r="E113" s="263" t="s">
        <v>827</v>
      </c>
      <c r="F113" s="263" t="s">
        <v>1229</v>
      </c>
      <c r="G113" s="338" t="s">
        <v>295</v>
      </c>
      <c r="H113" s="338" t="s">
        <v>295</v>
      </c>
      <c r="I113" s="338" t="s">
        <v>295</v>
      </c>
    </row>
    <row r="114" spans="1:9" s="334" customFormat="1" ht="13.15">
      <c r="A114" s="334">
        <f t="shared" si="4"/>
        <v>111</v>
      </c>
      <c r="B114" s="337" t="str">
        <f>IF(ISBLANK(VLOOKUP(A114,$C$4:$V$10001,1+$A$1)),D114,VLOOKUP(A114,$C$4:$V$10001,1+$A$1))</f>
        <v>All access hours if not 24*7</v>
      </c>
      <c r="C114" s="334">
        <f t="shared" si="5"/>
        <v>111</v>
      </c>
      <c r="D114" s="263" t="s">
        <v>296</v>
      </c>
      <c r="E114" s="263" t="s">
        <v>828</v>
      </c>
      <c r="F114" s="263" t="s">
        <v>1230</v>
      </c>
      <c r="G114" s="338" t="s">
        <v>1412</v>
      </c>
      <c r="H114" s="338" t="s">
        <v>2170</v>
      </c>
      <c r="I114" s="338" t="s">
        <v>2595</v>
      </c>
    </row>
    <row r="115" spans="1:9" s="334" customFormat="1" ht="13.15">
      <c r="A115" s="334">
        <f t="shared" si="4"/>
        <v>112</v>
      </c>
      <c r="B115" s="337" t="str">
        <f>IF(ISBLANK(VLOOKUP(A115,$C$4:$V$10001,1+$A$1)),D115,VLOOKUP(A115,$C$4:$V$10001,1+$A$1))</f>
        <v>Part time/not available</v>
      </c>
      <c r="C115" s="334">
        <f t="shared" si="5"/>
        <v>112</v>
      </c>
      <c r="D115" s="263" t="s">
        <v>294</v>
      </c>
      <c r="E115" s="263" t="s">
        <v>829</v>
      </c>
      <c r="F115" s="263" t="s">
        <v>1231</v>
      </c>
      <c r="G115" s="338" t="s">
        <v>1413</v>
      </c>
      <c r="H115" s="338" t="s">
        <v>2169</v>
      </c>
      <c r="I115" s="338" t="s">
        <v>2596</v>
      </c>
    </row>
    <row r="116" spans="1:9" s="334" customFormat="1" ht="13.15">
      <c r="A116" s="334">
        <f t="shared" si="4"/>
        <v>113</v>
      </c>
      <c r="B116" s="337"/>
      <c r="C116" s="334">
        <f t="shared" si="5"/>
        <v>113</v>
      </c>
      <c r="D116" s="263"/>
      <c r="E116" s="263"/>
      <c r="F116" s="263"/>
      <c r="G116" s="338"/>
      <c r="H116" s="338"/>
      <c r="I116" s="338"/>
    </row>
    <row r="117" spans="1:9" s="334" customFormat="1" ht="13.15">
      <c r="A117" s="334">
        <f t="shared" si="4"/>
        <v>114</v>
      </c>
      <c r="B117" s="337" t="str">
        <f>IF(ISBLANK(VLOOKUP(A117,$C$4:$V$10001,1+$A$1)),D117,VLOOKUP(A117,$C$4:$V$10001,1+$A$1))</f>
        <v>24*7</v>
      </c>
      <c r="C117" s="334">
        <f t="shared" si="5"/>
        <v>114</v>
      </c>
      <c r="D117" s="263" t="s">
        <v>295</v>
      </c>
      <c r="E117" s="263" t="s">
        <v>827</v>
      </c>
      <c r="F117" s="263" t="s">
        <v>1229</v>
      </c>
      <c r="G117" s="338" t="s">
        <v>295</v>
      </c>
      <c r="H117" s="338" t="s">
        <v>295</v>
      </c>
      <c r="I117" s="338" t="s">
        <v>295</v>
      </c>
    </row>
    <row r="118" spans="1:9" s="334" customFormat="1" ht="13.15">
      <c r="A118" s="334">
        <f t="shared" si="4"/>
        <v>115</v>
      </c>
      <c r="B118" s="337" t="str">
        <f>IF(ISBLANK(VLOOKUP(A118,$C$4:$V$10001,1+$A$1)),D118,VLOOKUP(A118,$C$4:$V$10001,1+$A$1))</f>
        <v>During access Hours</v>
      </c>
      <c r="C118" s="334">
        <f t="shared" si="5"/>
        <v>115</v>
      </c>
      <c r="D118" s="263" t="s">
        <v>298</v>
      </c>
      <c r="E118" s="263" t="s">
        <v>830</v>
      </c>
      <c r="F118" s="263" t="s">
        <v>1232</v>
      </c>
      <c r="G118" s="338" t="s">
        <v>1414</v>
      </c>
      <c r="H118" s="338" t="s">
        <v>2168</v>
      </c>
      <c r="I118" s="340" t="s">
        <v>2597</v>
      </c>
    </row>
    <row r="119" spans="1:9" s="334" customFormat="1" ht="13.15">
      <c r="A119" s="334">
        <f t="shared" si="4"/>
        <v>116</v>
      </c>
      <c r="B119" s="337" t="str">
        <f>IF(ISBLANK(VLOOKUP(A119,$C$4:$V$10001,1+$A$1)),D119,VLOOKUP(A119,$C$4:$V$10001,1+$A$1))</f>
        <v>Less than access Hours</v>
      </c>
      <c r="C119" s="334">
        <f t="shared" si="5"/>
        <v>116</v>
      </c>
      <c r="D119" s="263" t="s">
        <v>297</v>
      </c>
      <c r="E119" s="263" t="s">
        <v>831</v>
      </c>
      <c r="F119" s="263" t="s">
        <v>1233</v>
      </c>
      <c r="G119" s="338" t="s">
        <v>1415</v>
      </c>
      <c r="H119" s="338" t="s">
        <v>2167</v>
      </c>
      <c r="I119" s="340" t="s">
        <v>2598</v>
      </c>
    </row>
    <row r="120" spans="1:9" s="334" customFormat="1" ht="13.15">
      <c r="A120" s="334">
        <f t="shared" si="4"/>
        <v>117</v>
      </c>
      <c r="B120" s="337" t="str">
        <f>IF(ISBLANK(VLOOKUP(A120,$C$4:$V$10001,1+$A$1)),D120,VLOOKUP(A120,$C$4:$V$10001,1+$A$1))</f>
        <v>No</v>
      </c>
      <c r="C120" s="334">
        <f t="shared" si="5"/>
        <v>117</v>
      </c>
      <c r="D120" s="263" t="s">
        <v>131</v>
      </c>
      <c r="E120" s="263" t="s">
        <v>832</v>
      </c>
      <c r="F120" s="263"/>
      <c r="G120" s="338" t="s">
        <v>1369</v>
      </c>
      <c r="H120" s="338" t="s">
        <v>131</v>
      </c>
      <c r="I120" s="338" t="s">
        <v>2551</v>
      </c>
    </row>
    <row r="121" spans="1:9" s="334" customFormat="1" ht="13.15">
      <c r="A121" s="334">
        <f t="shared" si="4"/>
        <v>118</v>
      </c>
      <c r="B121" s="337"/>
      <c r="C121" s="334">
        <f t="shared" si="5"/>
        <v>118</v>
      </c>
      <c r="D121" s="263"/>
      <c r="E121" s="263"/>
      <c r="F121" s="263"/>
      <c r="G121" s="338"/>
      <c r="H121" s="338"/>
      <c r="I121" s="338"/>
    </row>
    <row r="122" spans="1:9" s="334" customFormat="1" ht="26.25">
      <c r="A122" s="334">
        <f t="shared" si="4"/>
        <v>119</v>
      </c>
      <c r="B122" s="337" t="str">
        <f>IF(ISBLANK(VLOOKUP(A122,$C$4:$V$10001,1+$A$1)),D122,VLOOKUP(A122,$C$4:$V$10001,1+$A$1))</f>
        <v>Closed gate/rolling shutter  after access hours</v>
      </c>
      <c r="C122" s="334">
        <f t="shared" si="5"/>
        <v>119</v>
      </c>
      <c r="D122" s="263" t="s">
        <v>300</v>
      </c>
      <c r="E122" s="263" t="s">
        <v>833</v>
      </c>
      <c r="F122" s="263" t="s">
        <v>1234</v>
      </c>
      <c r="G122" s="338" t="s">
        <v>1416</v>
      </c>
      <c r="H122" s="338" t="s">
        <v>2166</v>
      </c>
      <c r="I122" s="340" t="s">
        <v>2599</v>
      </c>
    </row>
    <row r="123" spans="1:9" s="334" customFormat="1" ht="26.25">
      <c r="A123" s="334">
        <f t="shared" si="4"/>
        <v>120</v>
      </c>
      <c r="B123" s="337" t="str">
        <f>IF(ISBLANK(VLOOKUP(A123,$C$4:$V$10001,1+$A$1)),D123,VLOOKUP(A123,$C$4:$V$10001,1+$A$1))</f>
        <v>Secured: fast opening gate during day</v>
      </c>
      <c r="C123" s="334">
        <f t="shared" si="5"/>
        <v>120</v>
      </c>
      <c r="D123" s="263" t="s">
        <v>301</v>
      </c>
      <c r="E123" s="263" t="s">
        <v>834</v>
      </c>
      <c r="F123" s="263" t="s">
        <v>1235</v>
      </c>
      <c r="G123" s="338" t="s">
        <v>1417</v>
      </c>
      <c r="H123" s="338" t="s">
        <v>2165</v>
      </c>
      <c r="I123" s="338" t="s">
        <v>2600</v>
      </c>
    </row>
    <row r="124" spans="1:9" s="334" customFormat="1" ht="26.25">
      <c r="A124" s="334">
        <f t="shared" si="4"/>
        <v>121</v>
      </c>
      <c r="B124" s="337" t="str">
        <f>IF(ISBLANK(VLOOKUP(A124,$C$4:$V$10001,1+$A$1)),D124,VLOOKUP(A124,$C$4:$V$10001,1+$A$1))</f>
        <v>Secured: slow opening gate during day</v>
      </c>
      <c r="C124" s="334">
        <f t="shared" si="5"/>
        <v>121</v>
      </c>
      <c r="D124" s="263" t="s">
        <v>303</v>
      </c>
      <c r="E124" s="263" t="s">
        <v>835</v>
      </c>
      <c r="F124" s="263" t="s">
        <v>1236</v>
      </c>
      <c r="G124" s="338" t="s">
        <v>1418</v>
      </c>
      <c r="H124" s="338" t="s">
        <v>2164</v>
      </c>
      <c r="I124" s="338" t="s">
        <v>2601</v>
      </c>
    </row>
    <row r="125" spans="1:9" s="334" customFormat="1" ht="13.15">
      <c r="A125" s="334">
        <f t="shared" si="4"/>
        <v>122</v>
      </c>
      <c r="B125" s="337" t="str">
        <f>IF(ISBLANK(VLOOKUP(A125,$C$4:$V$10001,1+$A$1)),D125,VLOOKUP(A125,$C$4:$V$10001,1+$A$1))</f>
        <v>No provisions</v>
      </c>
      <c r="C125" s="334">
        <f t="shared" si="5"/>
        <v>122</v>
      </c>
      <c r="D125" s="263" t="s">
        <v>302</v>
      </c>
      <c r="E125" s="263" t="s">
        <v>836</v>
      </c>
      <c r="F125" s="263" t="s">
        <v>1237</v>
      </c>
      <c r="G125" s="187" t="s">
        <v>1419</v>
      </c>
      <c r="H125" s="187" t="s">
        <v>2163</v>
      </c>
      <c r="I125" s="294" t="s">
        <v>2602</v>
      </c>
    </row>
    <row r="126" spans="1:9" s="334" customFormat="1" ht="13.15">
      <c r="A126" s="334">
        <f t="shared" si="4"/>
        <v>123</v>
      </c>
      <c r="B126" s="337"/>
      <c r="C126" s="334">
        <f t="shared" si="5"/>
        <v>123</v>
      </c>
      <c r="D126" s="264"/>
      <c r="E126" s="264"/>
      <c r="F126" s="264"/>
      <c r="G126" s="188"/>
      <c r="H126" s="188"/>
      <c r="I126" s="298"/>
    </row>
    <row r="127" spans="1:9" s="334" customFormat="1" ht="26.25">
      <c r="A127" s="334">
        <f t="shared" si="4"/>
        <v>124</v>
      </c>
      <c r="B127" s="337" t="str">
        <f>IF(ISBLANK(VLOOKUP(A127,$C$4:$V$10001,1+$A$1)),D127,VLOOKUP(A127,$C$4:$V$10001,1+$A$1))</f>
        <v>Maximum Aperture Door/gate/rolling shutter &lt;= 15cm</v>
      </c>
      <c r="C127" s="334">
        <f t="shared" si="5"/>
        <v>124</v>
      </c>
      <c r="D127" s="263" t="s">
        <v>307</v>
      </c>
      <c r="E127" s="263" t="s">
        <v>837</v>
      </c>
      <c r="F127" s="263" t="s">
        <v>1238</v>
      </c>
      <c r="G127" s="188" t="s">
        <v>1420</v>
      </c>
      <c r="H127" s="188" t="s">
        <v>2162</v>
      </c>
      <c r="I127" s="298" t="s">
        <v>2603</v>
      </c>
    </row>
    <row r="128" spans="1:9" s="334" customFormat="1" ht="26.25">
      <c r="A128" s="334">
        <f t="shared" si="4"/>
        <v>125</v>
      </c>
      <c r="B128" s="337" t="str">
        <f>IF(ISBLANK(VLOOKUP(A128,$C$4:$V$10001,1+$A$1)),D128,VLOOKUP(A128,$C$4:$V$10001,1+$A$1))</f>
        <v>Maximum Aperture Door/gate/rolling shutter &gt; 15cm</v>
      </c>
      <c r="C128" s="334">
        <f t="shared" si="5"/>
        <v>125</v>
      </c>
      <c r="D128" s="263" t="s">
        <v>308</v>
      </c>
      <c r="E128" s="263" t="s">
        <v>838</v>
      </c>
      <c r="F128" s="263" t="s">
        <v>1239</v>
      </c>
      <c r="G128" s="187" t="s">
        <v>1421</v>
      </c>
      <c r="H128" s="187" t="s">
        <v>2161</v>
      </c>
      <c r="I128" s="294" t="s">
        <v>2604</v>
      </c>
    </row>
    <row r="129" spans="1:9" s="334" customFormat="1" ht="13.15">
      <c r="A129" s="334">
        <f t="shared" si="4"/>
        <v>126</v>
      </c>
      <c r="B129" s="337" t="str">
        <f>IF(ISBLANK(VLOOKUP(A129,$C$4:$V$10001,1+$A$1)),D129,VLOOKUP(A129,$C$4:$V$10001,1+$A$1))</f>
        <v>no provisions</v>
      </c>
      <c r="C129" s="334">
        <f t="shared" si="5"/>
        <v>126</v>
      </c>
      <c r="D129" s="263" t="s">
        <v>305</v>
      </c>
      <c r="E129" s="263" t="s">
        <v>839</v>
      </c>
      <c r="F129" s="263" t="s">
        <v>1240</v>
      </c>
      <c r="G129" s="190" t="s">
        <v>1422</v>
      </c>
      <c r="H129" s="190" t="s">
        <v>2160</v>
      </c>
      <c r="I129" s="300" t="s">
        <v>2605</v>
      </c>
    </row>
    <row r="130" spans="1:9" s="334" customFormat="1" ht="13.15">
      <c r="A130" s="334">
        <f t="shared" si="4"/>
        <v>127</v>
      </c>
      <c r="B130" s="337" t="str">
        <f>IF(ISBLANK(VLOOKUP(A130,$C$4:$V$10001,1+$A$1)),D130,VLOOKUP(A130,$C$4:$V$10001,1+$A$1))</f>
        <v>Irrelevant (24 hours opening)</v>
      </c>
      <c r="C130" s="334">
        <f t="shared" si="5"/>
        <v>127</v>
      </c>
      <c r="D130" s="263" t="s">
        <v>306</v>
      </c>
      <c r="E130" s="263" t="s">
        <v>840</v>
      </c>
      <c r="F130" s="263" t="s">
        <v>1241</v>
      </c>
      <c r="G130" s="190" t="s">
        <v>1423</v>
      </c>
      <c r="H130" s="190" t="s">
        <v>2159</v>
      </c>
      <c r="I130" s="300" t="s">
        <v>2606</v>
      </c>
    </row>
    <row r="131" spans="1:9" s="334" customFormat="1" ht="13.15">
      <c r="A131" s="334">
        <f t="shared" si="4"/>
        <v>128</v>
      </c>
      <c r="B131" s="337"/>
      <c r="C131" s="334">
        <f t="shared" si="5"/>
        <v>128</v>
      </c>
      <c r="D131" s="265"/>
      <c r="E131" s="265"/>
      <c r="F131" s="265"/>
      <c r="G131" s="190"/>
      <c r="H131" s="190"/>
      <c r="I131" s="300"/>
    </row>
    <row r="132" spans="1:9" s="334" customFormat="1" ht="13.15">
      <c r="A132" s="334">
        <f t="shared" si="4"/>
        <v>129</v>
      </c>
      <c r="B132" s="337" t="str">
        <f>IF(ISBLANK(VLOOKUP(A132,$C$4:$V$10001,1+$A$1)),D132,VLOOKUP(A132,$C$4:$V$10001,1+$A$1))</f>
        <v>&lt;= 15 cm</v>
      </c>
      <c r="C132" s="334">
        <f t="shared" si="5"/>
        <v>129</v>
      </c>
      <c r="D132" s="263" t="s">
        <v>311</v>
      </c>
      <c r="E132" s="263" t="s">
        <v>311</v>
      </c>
      <c r="F132" s="263" t="s">
        <v>311</v>
      </c>
      <c r="G132" s="190" t="s">
        <v>311</v>
      </c>
      <c r="H132" s="190" t="s">
        <v>311</v>
      </c>
      <c r="I132" s="300" t="s">
        <v>311</v>
      </c>
    </row>
    <row r="133" spans="1:9" s="334" customFormat="1" ht="13.15">
      <c r="A133" s="334">
        <f t="shared" ref="A133:A195" si="6">C133</f>
        <v>130</v>
      </c>
      <c r="B133" s="337" t="str">
        <f>IF(ISBLANK(VLOOKUP(A133,$C$4:$V$10001,1+$A$1)),D133,VLOOKUP(A133,$C$4:$V$10001,1+$A$1))</f>
        <v>&gt;15 cm or no protection</v>
      </c>
      <c r="C133" s="334">
        <f t="shared" si="5"/>
        <v>130</v>
      </c>
      <c r="D133" s="263" t="s">
        <v>313</v>
      </c>
      <c r="E133" s="263" t="s">
        <v>841</v>
      </c>
      <c r="F133" s="263" t="s">
        <v>1242</v>
      </c>
      <c r="G133" s="187" t="s">
        <v>1424</v>
      </c>
      <c r="H133" s="187" t="s">
        <v>2158</v>
      </c>
      <c r="I133" s="294" t="s">
        <v>2607</v>
      </c>
    </row>
    <row r="134" spans="1:9" s="334" customFormat="1" ht="13.15">
      <c r="A134" s="334">
        <f t="shared" si="6"/>
        <v>131</v>
      </c>
      <c r="B134" s="337" t="str">
        <f>IF(ISBLANK(VLOOKUP(A134,$C$4:$V$10001,1+$A$1)),D134,VLOOKUP(A134,$C$4:$V$10001,1+$A$1))</f>
        <v>Irrelevant (no external openings)</v>
      </c>
      <c r="C134" s="334">
        <f t="shared" ref="C134:C197" si="7">+C133+1</f>
        <v>131</v>
      </c>
      <c r="D134" s="263" t="s">
        <v>312</v>
      </c>
      <c r="E134" s="263" t="s">
        <v>842</v>
      </c>
      <c r="F134" s="263" t="s">
        <v>1243</v>
      </c>
      <c r="G134" s="338" t="s">
        <v>1425</v>
      </c>
      <c r="H134" s="338" t="s">
        <v>2157</v>
      </c>
      <c r="I134" s="341" t="s">
        <v>2608</v>
      </c>
    </row>
    <row r="135" spans="1:9" s="334" customFormat="1" ht="13.15">
      <c r="A135" s="334">
        <f t="shared" si="6"/>
        <v>132</v>
      </c>
      <c r="B135" s="337"/>
      <c r="C135" s="334">
        <f t="shared" si="7"/>
        <v>132</v>
      </c>
      <c r="D135" s="263"/>
      <c r="E135" s="263"/>
      <c r="F135" s="263"/>
      <c r="G135" s="338"/>
      <c r="H135" s="338"/>
      <c r="I135" s="338"/>
    </row>
    <row r="136" spans="1:9" s="334" customFormat="1" ht="13.15">
      <c r="A136" s="334">
        <f t="shared" si="6"/>
        <v>133</v>
      </c>
      <c r="B136" s="337" t="str">
        <f>IF(ISBLANK(VLOOKUP(A136,$C$4:$V$10001,1+$A$1)),D136,VLOOKUP(A136,$C$4:$V$10001,1+$A$1))</f>
        <v>Yes/Good</v>
      </c>
      <c r="C136" s="334">
        <f t="shared" si="7"/>
        <v>133</v>
      </c>
      <c r="D136" s="263" t="s">
        <v>318</v>
      </c>
      <c r="E136" s="263" t="s">
        <v>843</v>
      </c>
      <c r="F136" s="263" t="s">
        <v>1244</v>
      </c>
      <c r="G136" s="338" t="s">
        <v>1426</v>
      </c>
      <c r="H136" s="338" t="s">
        <v>2156</v>
      </c>
      <c r="I136" s="338" t="s">
        <v>2609</v>
      </c>
    </row>
    <row r="137" spans="1:9" s="334" customFormat="1" ht="13.15">
      <c r="A137" s="334">
        <f t="shared" si="6"/>
        <v>134</v>
      </c>
      <c r="B137" s="337" t="str">
        <f>IF(ISBLANK(VLOOKUP(A137,$C$4:$V$10001,1+$A$1)),D137,VLOOKUP(A137,$C$4:$V$10001,1+$A$1))</f>
        <v>No/Bad</v>
      </c>
      <c r="C137" s="334">
        <f t="shared" si="7"/>
        <v>134</v>
      </c>
      <c r="D137" s="263" t="s">
        <v>317</v>
      </c>
      <c r="E137" s="263" t="s">
        <v>844</v>
      </c>
      <c r="F137" s="263" t="s">
        <v>1245</v>
      </c>
      <c r="G137" s="338" t="s">
        <v>1427</v>
      </c>
      <c r="H137" s="338" t="s">
        <v>2155</v>
      </c>
      <c r="I137" s="338" t="s">
        <v>2610</v>
      </c>
    </row>
    <row r="138" spans="1:9" s="334" customFormat="1" ht="13.15">
      <c r="A138" s="334">
        <f t="shared" si="6"/>
        <v>135</v>
      </c>
      <c r="B138" s="337"/>
      <c r="C138" s="334">
        <f t="shared" si="7"/>
        <v>135</v>
      </c>
      <c r="D138" s="263"/>
      <c r="E138" s="263"/>
      <c r="F138" s="263"/>
      <c r="G138" s="338"/>
      <c r="H138" s="338"/>
      <c r="I138" s="338"/>
    </row>
    <row r="139" spans="1:9" s="334" customFormat="1" ht="13.15">
      <c r="A139" s="334">
        <f t="shared" si="6"/>
        <v>136</v>
      </c>
      <c r="B139" s="337" t="str">
        <f>IF(ISBLANK(VLOOKUP(A139,$C$4:$V$10001,1+$A$1)),D139,VLOOKUP(A139,$C$4:$V$10001,1+$A$1))</f>
        <v>Good</v>
      </c>
      <c r="C139" s="334">
        <f t="shared" si="7"/>
        <v>136</v>
      </c>
      <c r="D139" s="263" t="s">
        <v>149</v>
      </c>
      <c r="E139" s="263" t="s">
        <v>802</v>
      </c>
      <c r="F139" s="263" t="s">
        <v>1195</v>
      </c>
      <c r="G139" s="338" t="s">
        <v>1383</v>
      </c>
      <c r="H139" s="338" t="s">
        <v>2150</v>
      </c>
      <c r="I139" s="338" t="s">
        <v>2563</v>
      </c>
    </row>
    <row r="140" spans="1:9" s="334" customFormat="1" ht="13.15">
      <c r="A140" s="334">
        <f t="shared" si="6"/>
        <v>137</v>
      </c>
      <c r="B140" s="337" t="str">
        <f>IF(ISBLANK(VLOOKUP(A140,$C$4:$V$10001,1+$A$1)),D140,VLOOKUP(A140,$C$4:$V$10001,1+$A$1))</f>
        <v>Adequate</v>
      </c>
      <c r="C140" s="334">
        <f t="shared" si="7"/>
        <v>137</v>
      </c>
      <c r="D140" s="263" t="s">
        <v>319</v>
      </c>
      <c r="E140" s="263" t="s">
        <v>803</v>
      </c>
      <c r="F140" s="263" t="s">
        <v>1246</v>
      </c>
      <c r="G140" s="338" t="s">
        <v>1428</v>
      </c>
      <c r="H140" s="338" t="s">
        <v>2149</v>
      </c>
      <c r="I140" s="338" t="s">
        <v>2611</v>
      </c>
    </row>
    <row r="141" spans="1:9" s="334" customFormat="1" ht="13.15">
      <c r="A141" s="334">
        <f t="shared" si="6"/>
        <v>138</v>
      </c>
      <c r="B141" s="337" t="str">
        <f>IF(ISBLANK(VLOOKUP(A141,$C$4:$V$10001,1+$A$1)),D141,VLOOKUP(A141,$C$4:$V$10001,1+$A$1))</f>
        <v>Poor</v>
      </c>
      <c r="C141" s="334">
        <f t="shared" si="7"/>
        <v>138</v>
      </c>
      <c r="D141" s="263" t="s">
        <v>320</v>
      </c>
      <c r="E141" s="263" t="s">
        <v>804</v>
      </c>
      <c r="F141" s="263" t="s">
        <v>1247</v>
      </c>
      <c r="G141" s="338" t="s">
        <v>1385</v>
      </c>
      <c r="H141" s="338" t="s">
        <v>2148</v>
      </c>
      <c r="I141" s="338" t="s">
        <v>2612</v>
      </c>
    </row>
    <row r="142" spans="1:9" s="334" customFormat="1" ht="13.15">
      <c r="A142" s="334">
        <f t="shared" si="6"/>
        <v>139</v>
      </c>
      <c r="B142" s="337" t="str">
        <f>IF(ISBLANK(VLOOKUP(A142,$C$4:$V$10001,1+$A$1)),D142,VLOOKUP(A142,$C$4:$V$10001,1+$A$1))</f>
        <v>No</v>
      </c>
      <c r="C142" s="334">
        <f t="shared" si="7"/>
        <v>139</v>
      </c>
      <c r="D142" s="263" t="s">
        <v>131</v>
      </c>
      <c r="E142" s="263" t="s">
        <v>792</v>
      </c>
      <c r="F142" s="263" t="s">
        <v>1214</v>
      </c>
      <c r="G142" s="338" t="s">
        <v>1369</v>
      </c>
      <c r="H142" s="338" t="s">
        <v>131</v>
      </c>
      <c r="I142" s="338" t="s">
        <v>2551</v>
      </c>
    </row>
    <row r="143" spans="1:9" s="334" customFormat="1" ht="13.15">
      <c r="A143" s="334">
        <f t="shared" si="6"/>
        <v>140</v>
      </c>
      <c r="B143" s="337"/>
      <c r="C143" s="334">
        <f t="shared" si="7"/>
        <v>140</v>
      </c>
      <c r="D143" s="263"/>
      <c r="E143" s="263"/>
      <c r="F143" s="263"/>
      <c r="G143" s="338"/>
      <c r="H143" s="338"/>
      <c r="I143" s="338"/>
    </row>
    <row r="144" spans="1:9" s="334" customFormat="1" ht="13.15">
      <c r="A144" s="334">
        <f t="shared" si="6"/>
        <v>141</v>
      </c>
      <c r="B144" s="337" t="str">
        <f>IF(ISBLANK(VLOOKUP(A144,$C$4:$V$10001,1+$A$1)),D144,VLOOKUP(A144,$C$4:$V$10001,1+$A$1))</f>
        <v>Clear from all locations</v>
      </c>
      <c r="C144" s="334">
        <f t="shared" si="7"/>
        <v>141</v>
      </c>
      <c r="D144" s="263" t="s">
        <v>324</v>
      </c>
      <c r="E144" s="263" t="s">
        <v>845</v>
      </c>
      <c r="F144" s="263" t="s">
        <v>1248</v>
      </c>
      <c r="G144" s="338" t="s">
        <v>1429</v>
      </c>
      <c r="H144" s="338" t="s">
        <v>2154</v>
      </c>
      <c r="I144" s="338" t="s">
        <v>2613</v>
      </c>
    </row>
    <row r="145" spans="1:9" s="334" customFormat="1" ht="13.15">
      <c r="A145" s="334">
        <f t="shared" si="6"/>
        <v>142</v>
      </c>
      <c r="B145" s="337" t="str">
        <f>IF(ISBLANK(VLOOKUP(A145,$C$4:$V$10001,1+$A$1)),D145,VLOOKUP(A145,$C$4:$V$10001,1+$A$1))</f>
        <v>Clear from most locations</v>
      </c>
      <c r="C145" s="334">
        <f t="shared" si="7"/>
        <v>142</v>
      </c>
      <c r="D145" s="263" t="s">
        <v>325</v>
      </c>
      <c r="E145" s="263" t="s">
        <v>846</v>
      </c>
      <c r="F145" s="263" t="s">
        <v>1249</v>
      </c>
      <c r="G145" s="338" t="s">
        <v>1430</v>
      </c>
      <c r="H145" s="338" t="s">
        <v>2153</v>
      </c>
      <c r="I145" s="338" t="s">
        <v>2614</v>
      </c>
    </row>
    <row r="146" spans="1:9" s="334" customFormat="1" ht="13.15">
      <c r="A146" s="334">
        <f t="shared" si="6"/>
        <v>143</v>
      </c>
      <c r="B146" s="337" t="str">
        <f>IF(ISBLANK(VLOOKUP(A146,$C$4:$V$10001,1+$A$1)),D146,VLOOKUP(A146,$C$4:$V$10001,1+$A$1))</f>
        <v>Clear from some locations</v>
      </c>
      <c r="C146" s="334">
        <f t="shared" si="7"/>
        <v>143</v>
      </c>
      <c r="D146" s="263" t="s">
        <v>326</v>
      </c>
      <c r="E146" s="263" t="s">
        <v>847</v>
      </c>
      <c r="F146" s="263" t="s">
        <v>1250</v>
      </c>
      <c r="G146" s="338" t="s">
        <v>1431</v>
      </c>
      <c r="H146" s="338" t="s">
        <v>2152</v>
      </c>
      <c r="I146" s="338" t="s">
        <v>2615</v>
      </c>
    </row>
    <row r="147" spans="1:9" s="334" customFormat="1" ht="13.15">
      <c r="A147" s="334">
        <f t="shared" si="6"/>
        <v>144</v>
      </c>
      <c r="B147" s="337" t="str">
        <f>IF(ISBLANK(VLOOKUP(A147,$C$4:$V$10001,1+$A$1)),D147,VLOOKUP(A147,$C$4:$V$10001,1+$A$1))</f>
        <v>No marking of escape routes</v>
      </c>
      <c r="C147" s="334">
        <f t="shared" si="7"/>
        <v>144</v>
      </c>
      <c r="D147" s="263" t="s">
        <v>327</v>
      </c>
      <c r="E147" s="263" t="s">
        <v>848</v>
      </c>
      <c r="F147" s="263" t="s">
        <v>1251</v>
      </c>
      <c r="G147" s="338" t="s">
        <v>1432</v>
      </c>
      <c r="H147" s="338" t="s">
        <v>2151</v>
      </c>
      <c r="I147" s="338" t="s">
        <v>2616</v>
      </c>
    </row>
    <row r="148" spans="1:9" s="334" customFormat="1" ht="13.15">
      <c r="A148" s="334">
        <f t="shared" si="6"/>
        <v>145</v>
      </c>
      <c r="B148" s="337"/>
      <c r="C148" s="334">
        <f t="shared" si="7"/>
        <v>145</v>
      </c>
      <c r="D148" s="263"/>
      <c r="E148" s="263"/>
      <c r="F148" s="263"/>
      <c r="G148" s="338"/>
      <c r="H148" s="338"/>
      <c r="I148" s="338"/>
    </row>
    <row r="149" spans="1:9" s="334" customFormat="1" ht="13.15">
      <c r="A149" s="334">
        <f t="shared" si="6"/>
        <v>146</v>
      </c>
      <c r="B149" s="337" t="str">
        <f>IF(ISBLANK(VLOOKUP(A149,$C$4:$V$10001,1+$A$1)),D149,VLOOKUP(A149,$C$4:$V$10001,1+$A$1))</f>
        <v>Good</v>
      </c>
      <c r="C149" s="334">
        <f t="shared" si="7"/>
        <v>146</v>
      </c>
      <c r="D149" s="263" t="s">
        <v>149</v>
      </c>
      <c r="E149" s="263" t="s">
        <v>802</v>
      </c>
      <c r="F149" s="263" t="s">
        <v>1195</v>
      </c>
      <c r="G149" s="338" t="s">
        <v>1383</v>
      </c>
      <c r="H149" s="338" t="s">
        <v>2150</v>
      </c>
      <c r="I149" s="338" t="s">
        <v>2563</v>
      </c>
    </row>
    <row r="150" spans="1:9" s="334" customFormat="1" ht="13.15">
      <c r="A150" s="334">
        <f t="shared" si="6"/>
        <v>147</v>
      </c>
      <c r="B150" s="337" t="str">
        <f>IF(ISBLANK(VLOOKUP(A150,$C$4:$V$10001,1+$A$1)),D150,VLOOKUP(A150,$C$4:$V$10001,1+$A$1))</f>
        <v>Adequate</v>
      </c>
      <c r="C150" s="334">
        <f t="shared" si="7"/>
        <v>147</v>
      </c>
      <c r="D150" s="263" t="s">
        <v>319</v>
      </c>
      <c r="E150" s="263" t="s">
        <v>803</v>
      </c>
      <c r="F150" s="263" t="s">
        <v>1246</v>
      </c>
      <c r="G150" s="338" t="s">
        <v>1428</v>
      </c>
      <c r="H150" s="338" t="s">
        <v>2149</v>
      </c>
      <c r="I150" s="338" t="s">
        <v>2611</v>
      </c>
    </row>
    <row r="151" spans="1:9" s="334" customFormat="1" ht="13.15">
      <c r="A151" s="334">
        <f t="shared" si="6"/>
        <v>148</v>
      </c>
      <c r="B151" s="337" t="str">
        <f>IF(ISBLANK(VLOOKUP(A151,$C$4:$V$10001,1+$A$1)),D151,VLOOKUP(A151,$C$4:$V$10001,1+$A$1))</f>
        <v>Poor</v>
      </c>
      <c r="C151" s="334">
        <f t="shared" si="7"/>
        <v>148</v>
      </c>
      <c r="D151" s="263" t="s">
        <v>320</v>
      </c>
      <c r="E151" s="263" t="s">
        <v>804</v>
      </c>
      <c r="F151" s="263" t="s">
        <v>1247</v>
      </c>
      <c r="G151" s="338" t="s">
        <v>1385</v>
      </c>
      <c r="H151" s="338" t="s">
        <v>2148</v>
      </c>
      <c r="I151" s="338" t="s">
        <v>2612</v>
      </c>
    </row>
    <row r="152" spans="1:9" s="334" customFormat="1" ht="13.15">
      <c r="A152" s="334">
        <f t="shared" si="6"/>
        <v>149</v>
      </c>
      <c r="B152" s="337" t="str">
        <f>IF(ISBLANK(VLOOKUP(A152,$C$4:$V$10001,1+$A$1)),D152,VLOOKUP(A152,$C$4:$V$10001,1+$A$1))</f>
        <v>None</v>
      </c>
      <c r="C152" s="334">
        <f t="shared" si="7"/>
        <v>149</v>
      </c>
      <c r="D152" s="263" t="s">
        <v>328</v>
      </c>
      <c r="E152" s="263" t="s">
        <v>832</v>
      </c>
      <c r="F152" s="263" t="s">
        <v>1214</v>
      </c>
      <c r="G152" s="338" t="s">
        <v>1433</v>
      </c>
      <c r="H152" s="338" t="s">
        <v>131</v>
      </c>
      <c r="I152" s="338" t="s">
        <v>2594</v>
      </c>
    </row>
    <row r="153" spans="1:9" s="334" customFormat="1" ht="13.15">
      <c r="A153" s="334">
        <f t="shared" si="6"/>
        <v>150</v>
      </c>
      <c r="B153" s="337" t="str">
        <f>IF(ISBLANK(VLOOKUP(A153,$C$4:$V$10001,1+$A$1)),D153,VLOOKUP(A153,$C$4:$V$10001,1+$A$1))</f>
        <v>Single Level Car Park</v>
      </c>
      <c r="C153" s="334">
        <f t="shared" si="7"/>
        <v>150</v>
      </c>
      <c r="D153" s="263" t="s">
        <v>329</v>
      </c>
      <c r="E153" s="263" t="s">
        <v>1837</v>
      </c>
      <c r="F153" s="263" t="s">
        <v>1252</v>
      </c>
      <c r="G153" s="338" t="s">
        <v>1434</v>
      </c>
      <c r="H153" s="338" t="s">
        <v>2147</v>
      </c>
      <c r="I153" s="338" t="s">
        <v>2617</v>
      </c>
    </row>
    <row r="154" spans="1:9" s="334" customFormat="1" ht="13.15">
      <c r="A154" s="334">
        <f t="shared" si="6"/>
        <v>151</v>
      </c>
      <c r="B154" s="337"/>
      <c r="C154" s="334">
        <f t="shared" si="7"/>
        <v>151</v>
      </c>
      <c r="D154" s="263"/>
      <c r="E154" s="263"/>
      <c r="F154" s="263"/>
      <c r="G154" s="338"/>
      <c r="H154" s="338"/>
      <c r="I154" s="338"/>
    </row>
    <row r="155" spans="1:9" s="334" customFormat="1" ht="13.15">
      <c r="A155" s="334">
        <f t="shared" si="6"/>
        <v>152</v>
      </c>
      <c r="B155" s="337" t="str">
        <f>IF(ISBLANK(VLOOKUP(A155,$C$4:$V$10001,1+$A$1)),D155,VLOOKUP(A155,$C$4:$V$10001,1+$A$1))</f>
        <v>Good</v>
      </c>
      <c r="C155" s="334">
        <f t="shared" si="7"/>
        <v>152</v>
      </c>
      <c r="D155" s="263" t="s">
        <v>149</v>
      </c>
      <c r="E155" s="263" t="s">
        <v>802</v>
      </c>
      <c r="F155" s="263" t="s">
        <v>1195</v>
      </c>
      <c r="G155" s="187" t="s">
        <v>1383</v>
      </c>
      <c r="H155" s="187" t="s">
        <v>2146</v>
      </c>
      <c r="I155" s="338" t="s">
        <v>2563</v>
      </c>
    </row>
    <row r="156" spans="1:9" s="334" customFormat="1" ht="13.15">
      <c r="A156" s="334">
        <f t="shared" si="6"/>
        <v>153</v>
      </c>
      <c r="B156" s="337" t="str">
        <f>IF(ISBLANK(VLOOKUP(A156,$C$4:$V$10001,1+$A$1)),D156,VLOOKUP(A156,$C$4:$V$10001,1+$A$1))</f>
        <v>Some</v>
      </c>
      <c r="C156" s="334">
        <f t="shared" si="7"/>
        <v>153</v>
      </c>
      <c r="D156" s="263" t="s">
        <v>330</v>
      </c>
      <c r="E156" s="263" t="s">
        <v>849</v>
      </c>
      <c r="F156" s="263" t="s">
        <v>1253</v>
      </c>
      <c r="G156" s="190" t="s">
        <v>1435</v>
      </c>
      <c r="H156" s="190" t="s">
        <v>2145</v>
      </c>
      <c r="I156" s="300" t="s">
        <v>2618</v>
      </c>
    </row>
    <row r="157" spans="1:9" s="334" customFormat="1" ht="13.15">
      <c r="A157" s="334">
        <f t="shared" si="6"/>
        <v>154</v>
      </c>
      <c r="B157" s="337" t="str">
        <f>IF(ISBLANK(VLOOKUP(A157,$C$4:$V$10001,1+$A$1)),D157,VLOOKUP(A157,$C$4:$V$10001,1+$A$1))</f>
        <v>None</v>
      </c>
      <c r="C157" s="334">
        <f t="shared" si="7"/>
        <v>154</v>
      </c>
      <c r="D157" s="263" t="s">
        <v>328</v>
      </c>
      <c r="E157" s="263" t="s">
        <v>832</v>
      </c>
      <c r="F157" s="263" t="s">
        <v>1214</v>
      </c>
      <c r="G157" s="190" t="s">
        <v>1433</v>
      </c>
      <c r="H157" s="190" t="s">
        <v>2142</v>
      </c>
      <c r="I157" s="300" t="s">
        <v>2594</v>
      </c>
    </row>
    <row r="158" spans="1:9" s="334" customFormat="1" ht="13.15">
      <c r="A158" s="334">
        <f t="shared" si="6"/>
        <v>155</v>
      </c>
      <c r="B158" s="337"/>
      <c r="C158" s="334">
        <f t="shared" si="7"/>
        <v>155</v>
      </c>
      <c r="D158" s="265"/>
      <c r="E158" s="265"/>
      <c r="F158" s="265"/>
      <c r="G158" s="190"/>
      <c r="H158" s="190"/>
      <c r="I158" s="300"/>
    </row>
    <row r="159" spans="1:9" s="334" customFormat="1" ht="25.5">
      <c r="A159" s="334">
        <f t="shared" si="6"/>
        <v>156</v>
      </c>
      <c r="B159" s="337" t="str">
        <f>IF(ISBLANK(VLOOKUP(A159,$C$4:$V$10001,1+$A$1)),D159,VLOOKUP(A159,$C$4:$V$10001,1+$A$1))</f>
        <v>Numbered including floor identification</v>
      </c>
      <c r="C159" s="334">
        <f t="shared" si="7"/>
        <v>156</v>
      </c>
      <c r="D159" s="263" t="s">
        <v>333</v>
      </c>
      <c r="E159" s="263" t="s">
        <v>850</v>
      </c>
      <c r="F159" s="263" t="s">
        <v>1254</v>
      </c>
      <c r="G159" s="187" t="s">
        <v>1436</v>
      </c>
      <c r="H159" s="187" t="s">
        <v>2144</v>
      </c>
      <c r="I159" s="294" t="s">
        <v>2619</v>
      </c>
    </row>
    <row r="160" spans="1:9" s="334" customFormat="1" ht="13.15">
      <c r="A160" s="334">
        <f t="shared" si="6"/>
        <v>157</v>
      </c>
      <c r="B160" s="337" t="str">
        <f>IF(ISBLANK(VLOOKUP(A160,$C$4:$V$10001,1+$A$1)),D160,VLOOKUP(A160,$C$4:$V$10001,1+$A$1))</f>
        <v>Just numbers</v>
      </c>
      <c r="C160" s="334">
        <f t="shared" si="7"/>
        <v>157</v>
      </c>
      <c r="D160" s="263" t="s">
        <v>334</v>
      </c>
      <c r="E160" s="263" t="s">
        <v>851</v>
      </c>
      <c r="F160" s="263" t="s">
        <v>1255</v>
      </c>
      <c r="G160" s="188" t="s">
        <v>1437</v>
      </c>
      <c r="H160" s="188" t="s">
        <v>2143</v>
      </c>
      <c r="I160" s="298" t="s">
        <v>2620</v>
      </c>
    </row>
    <row r="161" spans="1:9" s="334" customFormat="1" ht="13.15">
      <c r="A161" s="334">
        <f t="shared" si="6"/>
        <v>158</v>
      </c>
      <c r="B161" s="337" t="str">
        <f>IF(ISBLANK(VLOOKUP(A161,$C$4:$V$10001,1+$A$1)),D161,VLOOKUP(A161,$C$4:$V$10001,1+$A$1))</f>
        <v>None</v>
      </c>
      <c r="C161" s="334">
        <f t="shared" si="7"/>
        <v>158</v>
      </c>
      <c r="D161" s="263" t="s">
        <v>328</v>
      </c>
      <c r="E161" s="263" t="s">
        <v>832</v>
      </c>
      <c r="F161" s="263" t="s">
        <v>1214</v>
      </c>
      <c r="G161" s="188" t="s">
        <v>1433</v>
      </c>
      <c r="H161" s="188" t="s">
        <v>2142</v>
      </c>
      <c r="I161" s="298" t="s">
        <v>2594</v>
      </c>
    </row>
    <row r="162" spans="1:9" s="334" customFormat="1" ht="13.15">
      <c r="A162" s="334">
        <f t="shared" si="6"/>
        <v>159</v>
      </c>
      <c r="B162" s="337"/>
      <c r="C162" s="334">
        <f t="shared" si="7"/>
        <v>159</v>
      </c>
      <c r="D162" s="263"/>
      <c r="E162" s="263"/>
      <c r="F162" s="263"/>
      <c r="G162" s="187"/>
      <c r="H162" s="187"/>
      <c r="I162" s="294"/>
    </row>
    <row r="163" spans="1:9" s="334" customFormat="1" ht="13.15">
      <c r="A163" s="334">
        <f t="shared" si="6"/>
        <v>160</v>
      </c>
      <c r="B163" s="263" t="str">
        <f>IF(ISBLANK(VLOOKUP(A163,$C$4:$V$10001,1+$A$1)),D163,VLOOKUP(A163,$C$4:$V$10001,1+$A$1))</f>
        <v>Zero</v>
      </c>
      <c r="C163" s="334">
        <f t="shared" si="7"/>
        <v>160</v>
      </c>
      <c r="D163" s="263" t="s">
        <v>2730</v>
      </c>
      <c r="E163" s="263" t="s">
        <v>2742</v>
      </c>
      <c r="F163" s="263" t="s">
        <v>2739</v>
      </c>
      <c r="G163" s="263" t="s">
        <v>2747</v>
      </c>
      <c r="H163" s="263" t="s">
        <v>2735</v>
      </c>
      <c r="I163" s="294" t="s">
        <v>2730</v>
      </c>
    </row>
    <row r="164" spans="1:9" s="334" customFormat="1" ht="13.15">
      <c r="A164" s="334">
        <f t="shared" si="6"/>
        <v>161</v>
      </c>
      <c r="B164" s="263" t="str">
        <f>IF(ISBLANK(VLOOKUP(A164,$C$4:$V$10001,1+$A$1)),D164,VLOOKUP(A164,$C$4:$V$10001,1+$A$1))</f>
        <v>One</v>
      </c>
      <c r="C164" s="334">
        <f t="shared" si="7"/>
        <v>161</v>
      </c>
      <c r="D164" s="263" t="s">
        <v>366</v>
      </c>
      <c r="E164" s="263" t="s">
        <v>2743</v>
      </c>
      <c r="F164" s="263" t="s">
        <v>2736</v>
      </c>
      <c r="G164" s="263" t="s">
        <v>2748</v>
      </c>
      <c r="H164" s="263" t="s">
        <v>2736</v>
      </c>
      <c r="I164" s="294" t="s">
        <v>2625</v>
      </c>
    </row>
    <row r="165" spans="1:9" s="334" customFormat="1" ht="13.15">
      <c r="A165" s="334">
        <f t="shared" si="6"/>
        <v>162</v>
      </c>
      <c r="B165" s="263" t="str">
        <f>IF(ISBLANK(VLOOKUP(A165,$C$4:$V$10001,1+$A$1)),D165,VLOOKUP(A165,$C$4:$V$10001,1+$A$1))</f>
        <v>Two</v>
      </c>
      <c r="C165" s="334">
        <f t="shared" si="7"/>
        <v>162</v>
      </c>
      <c r="D165" s="263" t="s">
        <v>2731</v>
      </c>
      <c r="E165" s="263" t="s">
        <v>2744</v>
      </c>
      <c r="F165" s="263" t="s">
        <v>2740</v>
      </c>
      <c r="G165" s="263" t="s">
        <v>2749</v>
      </c>
      <c r="H165" s="263" t="s">
        <v>2737</v>
      </c>
      <c r="I165" s="294" t="s">
        <v>2733</v>
      </c>
    </row>
    <row r="166" spans="1:9" s="334" customFormat="1" ht="13.15">
      <c r="A166" s="334">
        <f t="shared" si="6"/>
        <v>163</v>
      </c>
      <c r="B166" s="337" t="str">
        <f>IF(ISBLANK(VLOOKUP(A166,$C$4:$V$10001,1+$A$1)),D166,VLOOKUP(A166,$C$4:$V$10001,1+$A$1))</f>
        <v>Three or More</v>
      </c>
      <c r="C166" s="334">
        <f t="shared" si="7"/>
        <v>163</v>
      </c>
      <c r="D166" s="263" t="s">
        <v>2732</v>
      </c>
      <c r="E166" s="263" t="s">
        <v>2745</v>
      </c>
      <c r="F166" s="263" t="s">
        <v>2741</v>
      </c>
      <c r="G166" s="263" t="s">
        <v>2746</v>
      </c>
      <c r="H166" s="263" t="s">
        <v>2738</v>
      </c>
      <c r="I166" s="294" t="s">
        <v>2734</v>
      </c>
    </row>
    <row r="167" spans="1:9" s="334" customFormat="1" ht="13.15">
      <c r="A167" s="334">
        <f t="shared" si="6"/>
        <v>164</v>
      </c>
      <c r="B167" s="337"/>
      <c r="C167" s="334">
        <f t="shared" si="7"/>
        <v>164</v>
      </c>
      <c r="D167" s="263"/>
      <c r="E167" s="263"/>
      <c r="F167" s="263"/>
      <c r="G167" s="187"/>
      <c r="H167" s="187"/>
      <c r="I167" s="294"/>
    </row>
    <row r="168" spans="1:9" s="334" customFormat="1" ht="13.15">
      <c r="A168" s="334">
        <f t="shared" si="6"/>
        <v>165</v>
      </c>
      <c r="B168" s="337" t="str">
        <f>IF(ISBLANK(VLOOKUP(A168,$C$4:$V$10001,1+$A$1)),D168,VLOOKUP(A168,$C$4:$V$10001,1+$A$1))</f>
        <v>One pay station</v>
      </c>
      <c r="C168" s="334">
        <f t="shared" si="7"/>
        <v>165</v>
      </c>
      <c r="D168" s="263" t="s">
        <v>362</v>
      </c>
      <c r="E168" s="263" t="s">
        <v>1841</v>
      </c>
      <c r="F168" s="263" t="s">
        <v>1256</v>
      </c>
      <c r="G168" s="188" t="s">
        <v>1438</v>
      </c>
      <c r="H168" s="188" t="s">
        <v>2141</v>
      </c>
      <c r="I168" s="298" t="s">
        <v>2621</v>
      </c>
    </row>
    <row r="169" spans="1:9" s="334" customFormat="1" ht="13.15">
      <c r="A169" s="334">
        <f t="shared" si="6"/>
        <v>166</v>
      </c>
      <c r="B169" s="337" t="str">
        <f>IF(ISBLANK(VLOOKUP(A169,$C$4:$V$10001,1+$A$1)),D169,VLOOKUP(A169,$C$4:$V$10001,1+$A$1))</f>
        <v>More than one</v>
      </c>
      <c r="C169" s="334">
        <f t="shared" si="7"/>
        <v>166</v>
      </c>
      <c r="D169" s="263" t="s">
        <v>363</v>
      </c>
      <c r="E169" s="263" t="s">
        <v>852</v>
      </c>
      <c r="F169" s="263" t="s">
        <v>1257</v>
      </c>
      <c r="G169" s="188" t="s">
        <v>1439</v>
      </c>
      <c r="H169" s="188" t="s">
        <v>2140</v>
      </c>
      <c r="I169" s="298" t="s">
        <v>2622</v>
      </c>
    </row>
    <row r="170" spans="1:9" s="334" customFormat="1" ht="25.5">
      <c r="A170" s="334">
        <f t="shared" si="6"/>
        <v>167</v>
      </c>
      <c r="B170" s="337" t="str">
        <f>IF(ISBLANK(VLOOKUP(A170,$C$4:$V$10001,1+$A$1)),D170,VLOOKUP(A170,$C$4:$V$10001,1+$A$1))</f>
        <v>One at each pedestrian entrance</v>
      </c>
      <c r="C170" s="334">
        <f t="shared" si="7"/>
        <v>167</v>
      </c>
      <c r="D170" s="263" t="s">
        <v>364</v>
      </c>
      <c r="E170" s="263" t="s">
        <v>1838</v>
      </c>
      <c r="F170" s="263" t="s">
        <v>1258</v>
      </c>
      <c r="G170" s="187" t="s">
        <v>1440</v>
      </c>
      <c r="H170" s="187" t="s">
        <v>2139</v>
      </c>
      <c r="I170" s="294" t="s">
        <v>2623</v>
      </c>
    </row>
    <row r="171" spans="1:9" s="334" customFormat="1" ht="13.15">
      <c r="A171" s="334">
        <f t="shared" si="6"/>
        <v>168</v>
      </c>
      <c r="B171" s="337" t="str">
        <f>IF(ISBLANK(VLOOKUP(A171,$C$4:$V$10001,1+$A$1)),D171,VLOOKUP(A171,$C$4:$V$10001,1+$A$1))</f>
        <v>More than one at each pedestrian entrance</v>
      </c>
      <c r="C171" s="334">
        <f t="shared" si="7"/>
        <v>168</v>
      </c>
      <c r="D171" s="263" t="s">
        <v>539</v>
      </c>
      <c r="E171" s="263" t="s">
        <v>2805</v>
      </c>
      <c r="F171" s="263" t="s">
        <v>1259</v>
      </c>
      <c r="G171" s="190" t="s">
        <v>1441</v>
      </c>
      <c r="H171" s="190" t="s">
        <v>2138</v>
      </c>
      <c r="I171" s="300" t="s">
        <v>2624</v>
      </c>
    </row>
    <row r="172" spans="1:9" s="334" customFormat="1" ht="13.15">
      <c r="A172" s="334">
        <f t="shared" si="6"/>
        <v>169</v>
      </c>
      <c r="B172" s="337"/>
      <c r="C172" s="334">
        <f t="shared" si="7"/>
        <v>169</v>
      </c>
      <c r="D172" s="265"/>
      <c r="E172" s="265"/>
      <c r="F172" s="265"/>
      <c r="G172" s="190"/>
      <c r="H172" s="190"/>
      <c r="I172" s="300"/>
    </row>
    <row r="173" spans="1:9" s="334" customFormat="1" ht="13.15">
      <c r="A173" s="334">
        <f t="shared" si="6"/>
        <v>170</v>
      </c>
      <c r="B173" s="337" t="str">
        <f>IF(ISBLANK(VLOOKUP(A173,$C$4:$V$10001,1+$A$1)),D173,VLOOKUP(A173,$C$4:$V$10001,1+$A$1))</f>
        <v>One</v>
      </c>
      <c r="C173" s="334">
        <f t="shared" si="7"/>
        <v>170</v>
      </c>
      <c r="D173" s="263" t="s">
        <v>366</v>
      </c>
      <c r="E173" s="263" t="s">
        <v>1839</v>
      </c>
      <c r="F173" s="263" t="s">
        <v>1260</v>
      </c>
      <c r="G173" s="190" t="s">
        <v>1442</v>
      </c>
      <c r="H173" s="190" t="s">
        <v>2137</v>
      </c>
      <c r="I173" s="300" t="s">
        <v>2625</v>
      </c>
    </row>
    <row r="174" spans="1:9" s="334" customFormat="1" ht="13.15">
      <c r="A174" s="334">
        <f t="shared" si="6"/>
        <v>171</v>
      </c>
      <c r="B174" s="337" t="str">
        <f>IF(ISBLANK(VLOOKUP(A174,$C$4:$V$10001,1+$A$1)),D174,VLOOKUP(A174,$C$4:$V$10001,1+$A$1))</f>
        <v>&lt; 1 for every 50 spaces</v>
      </c>
      <c r="C174" s="334">
        <f t="shared" si="7"/>
        <v>171</v>
      </c>
      <c r="D174" s="263" t="s">
        <v>367</v>
      </c>
      <c r="E174" s="263" t="s">
        <v>853</v>
      </c>
      <c r="F174" s="263" t="s">
        <v>1261</v>
      </c>
      <c r="G174" s="187" t="s">
        <v>1443</v>
      </c>
      <c r="H174" s="187" t="s">
        <v>2136</v>
      </c>
      <c r="I174" s="295" t="s">
        <v>2626</v>
      </c>
    </row>
    <row r="175" spans="1:9" s="334" customFormat="1" ht="13.15">
      <c r="A175" s="334">
        <f t="shared" si="6"/>
        <v>172</v>
      </c>
      <c r="B175" s="337" t="str">
        <f>IF(ISBLANK(VLOOKUP(A175,$C$4:$V$10001,1+$A$1)),D175,VLOOKUP(A175,$C$4:$V$10001,1+$A$1))</f>
        <v>&gt;1 for every 50 spaces</v>
      </c>
      <c r="C175" s="334">
        <f t="shared" si="7"/>
        <v>172</v>
      </c>
      <c r="D175" s="263" t="s">
        <v>368</v>
      </c>
      <c r="E175" s="263" t="s">
        <v>854</v>
      </c>
      <c r="F175" s="263" t="s">
        <v>1262</v>
      </c>
      <c r="G175" s="187" t="s">
        <v>1444</v>
      </c>
      <c r="H175" s="187" t="s">
        <v>2135</v>
      </c>
      <c r="I175" s="295" t="s">
        <v>2627</v>
      </c>
    </row>
    <row r="176" spans="1:9" s="334" customFormat="1" ht="13.15">
      <c r="A176" s="334">
        <f t="shared" si="6"/>
        <v>173</v>
      </c>
      <c r="B176" s="337"/>
      <c r="C176" s="334">
        <f t="shared" si="7"/>
        <v>173</v>
      </c>
      <c r="D176" s="265"/>
      <c r="E176" s="265"/>
      <c r="F176" s="265"/>
      <c r="G176" s="190"/>
      <c r="H176" s="190"/>
      <c r="I176" s="300"/>
    </row>
    <row r="177" spans="1:9" s="334" customFormat="1" ht="13.15">
      <c r="A177" s="334">
        <f t="shared" si="6"/>
        <v>174</v>
      </c>
      <c r="B177" s="337" t="str">
        <f>IF(ISBLANK(VLOOKUP(A177,$C$4:$V$10001,1+$A$1)),D177,VLOOKUP(A177,$C$4:$V$10001,1+$A$1))</f>
        <v>Unisex</v>
      </c>
      <c r="C177" s="334">
        <f t="shared" si="7"/>
        <v>174</v>
      </c>
      <c r="D177" s="263" t="s">
        <v>373</v>
      </c>
      <c r="E177" s="263" t="s">
        <v>855</v>
      </c>
      <c r="F177" s="263" t="s">
        <v>1263</v>
      </c>
      <c r="G177" s="190" t="s">
        <v>1445</v>
      </c>
      <c r="H177" s="190" t="s">
        <v>373</v>
      </c>
      <c r="I177" s="300" t="s">
        <v>2628</v>
      </c>
    </row>
    <row r="178" spans="1:9" s="334" customFormat="1" ht="13.15">
      <c r="A178" s="334">
        <f t="shared" si="6"/>
        <v>175</v>
      </c>
      <c r="B178" s="337" t="str">
        <f>IF(ISBLANK(VLOOKUP(A178,$C$4:$V$10001,1+$A$1)),D178,VLOOKUP(A178,$C$4:$V$10001,1+$A$1))</f>
        <v>Male/Female Separated</v>
      </c>
      <c r="C178" s="334">
        <f t="shared" si="7"/>
        <v>175</v>
      </c>
      <c r="D178" s="263" t="s">
        <v>374</v>
      </c>
      <c r="E178" s="263" t="s">
        <v>856</v>
      </c>
      <c r="F178" s="263" t="s">
        <v>1264</v>
      </c>
      <c r="G178" s="190" t="s">
        <v>1446</v>
      </c>
      <c r="H178" s="190" t="s">
        <v>2134</v>
      </c>
      <c r="I178" s="300" t="s">
        <v>2629</v>
      </c>
    </row>
    <row r="179" spans="1:9" s="334" customFormat="1" ht="13.15">
      <c r="A179" s="334">
        <f t="shared" si="6"/>
        <v>176</v>
      </c>
      <c r="B179" s="337"/>
      <c r="C179" s="334">
        <f t="shared" si="7"/>
        <v>176</v>
      </c>
      <c r="D179" s="263"/>
      <c r="E179" s="263"/>
      <c r="F179" s="263"/>
      <c r="G179" s="187"/>
      <c r="H179" s="187"/>
      <c r="I179" s="294"/>
    </row>
    <row r="180" spans="1:9" s="334" customFormat="1" ht="13.15">
      <c r="A180" s="334">
        <f t="shared" si="6"/>
        <v>177</v>
      </c>
      <c r="B180" s="337" t="str">
        <f>IF(ISBLANK(VLOOKUP(A180,$C$4:$V$10001,1+$A$1)),D180,VLOOKUP(A180,$C$4:$V$10001,1+$A$1))</f>
        <v>Coloured pillars</v>
      </c>
      <c r="C180" s="334">
        <f t="shared" si="7"/>
        <v>177</v>
      </c>
      <c r="D180" s="263" t="s">
        <v>379</v>
      </c>
      <c r="E180" s="263" t="s">
        <v>857</v>
      </c>
      <c r="F180" s="263" t="s">
        <v>1265</v>
      </c>
      <c r="G180" s="190" t="s">
        <v>1447</v>
      </c>
      <c r="H180" s="190" t="s">
        <v>2133</v>
      </c>
      <c r="I180" s="300" t="s">
        <v>2630</v>
      </c>
    </row>
    <row r="181" spans="1:9" s="334" customFormat="1" ht="13.15">
      <c r="A181" s="334">
        <f t="shared" si="6"/>
        <v>178</v>
      </c>
      <c r="B181" s="337" t="str">
        <f>IF(ISBLANK(VLOOKUP(A181,$C$4:$V$10001,1+$A$1)),D181,VLOOKUP(A181,$C$4:$V$10001,1+$A$1))</f>
        <v>No/Concrete grey</v>
      </c>
      <c r="C181" s="334">
        <f t="shared" si="7"/>
        <v>178</v>
      </c>
      <c r="D181" s="263" t="s">
        <v>381</v>
      </c>
      <c r="E181" s="263" t="s">
        <v>858</v>
      </c>
      <c r="F181" s="263" t="s">
        <v>1266</v>
      </c>
      <c r="G181" s="190" t="s">
        <v>1448</v>
      </c>
      <c r="H181" s="190" t="s">
        <v>2131</v>
      </c>
      <c r="I181" s="300" t="s">
        <v>2631</v>
      </c>
    </row>
    <row r="182" spans="1:9" s="334" customFormat="1" ht="13.15">
      <c r="A182" s="334">
        <f t="shared" si="6"/>
        <v>179</v>
      </c>
      <c r="B182" s="337"/>
      <c r="C182" s="334">
        <f t="shared" si="7"/>
        <v>179</v>
      </c>
      <c r="D182" s="265"/>
      <c r="E182" s="265"/>
      <c r="F182" s="265"/>
      <c r="G182" s="190"/>
      <c r="H182" s="190"/>
      <c r="I182" s="300"/>
    </row>
    <row r="183" spans="1:9" s="334" customFormat="1" ht="13.15">
      <c r="A183" s="334">
        <f t="shared" si="6"/>
        <v>180</v>
      </c>
      <c r="B183" s="337" t="str">
        <f>IF(ISBLANK(VLOOKUP(A183,$C$4:$V$10001,1+$A$1)),D183,VLOOKUP(A183,$C$4:$V$10001,1+$A$1))</f>
        <v>Coloured walls</v>
      </c>
      <c r="C183" s="334">
        <f t="shared" si="7"/>
        <v>180</v>
      </c>
      <c r="D183" s="263" t="s">
        <v>380</v>
      </c>
      <c r="E183" s="263" t="s">
        <v>859</v>
      </c>
      <c r="F183" s="263" t="s">
        <v>1267</v>
      </c>
      <c r="G183" s="190" t="s">
        <v>1449</v>
      </c>
      <c r="H183" s="190" t="s">
        <v>2132</v>
      </c>
      <c r="I183" s="300" t="s">
        <v>2632</v>
      </c>
    </row>
    <row r="184" spans="1:9" s="334" customFormat="1" ht="13.15">
      <c r="A184" s="334">
        <f t="shared" si="6"/>
        <v>181</v>
      </c>
      <c r="B184" s="337" t="str">
        <f>IF(ISBLANK(VLOOKUP(A184,$C$4:$V$10001,1+$A$1)),D184,VLOOKUP(A184,$C$4:$V$10001,1+$A$1))</f>
        <v>No/Concrete grey</v>
      </c>
      <c r="C184" s="334">
        <f t="shared" si="7"/>
        <v>181</v>
      </c>
      <c r="D184" s="263" t="s">
        <v>381</v>
      </c>
      <c r="E184" s="263" t="s">
        <v>858</v>
      </c>
      <c r="F184" s="263" t="s">
        <v>1266</v>
      </c>
      <c r="G184" s="190" t="s">
        <v>1448</v>
      </c>
      <c r="H184" s="190" t="s">
        <v>2131</v>
      </c>
      <c r="I184" s="300" t="s">
        <v>2631</v>
      </c>
    </row>
    <row r="185" spans="1:9" s="334" customFormat="1" ht="13.15">
      <c r="A185" s="334">
        <f t="shared" si="6"/>
        <v>182</v>
      </c>
      <c r="B185" s="337"/>
      <c r="C185" s="334">
        <f t="shared" si="7"/>
        <v>182</v>
      </c>
      <c r="D185" s="265"/>
      <c r="E185" s="265"/>
      <c r="F185" s="265"/>
      <c r="G185" s="190"/>
      <c r="H185" s="190"/>
      <c r="I185" s="300"/>
    </row>
    <row r="186" spans="1:9" s="334" customFormat="1" ht="13.15">
      <c r="A186" s="334">
        <f t="shared" si="6"/>
        <v>183</v>
      </c>
      <c r="B186" s="337" t="str">
        <f>IF(ISBLANK(VLOOKUP(A186,$C$4:$V$10001,1+$A$1)),D186,VLOOKUP(A186,$C$4:$V$10001,1+$A$1))</f>
        <v>More than one recharging point</v>
      </c>
      <c r="C186" s="334">
        <f t="shared" si="7"/>
        <v>183</v>
      </c>
      <c r="D186" s="263" t="s">
        <v>395</v>
      </c>
      <c r="E186" s="263" t="s">
        <v>860</v>
      </c>
      <c r="F186" s="263" t="s">
        <v>1268</v>
      </c>
      <c r="G186" s="190" t="s">
        <v>1450</v>
      </c>
      <c r="H186" s="190" t="s">
        <v>2130</v>
      </c>
      <c r="I186" s="300" t="s">
        <v>2633</v>
      </c>
    </row>
    <row r="187" spans="1:9" s="334" customFormat="1" ht="13.15">
      <c r="A187" s="334">
        <f t="shared" si="6"/>
        <v>184</v>
      </c>
      <c r="B187" s="337" t="str">
        <f>IF(ISBLANK(VLOOKUP(A187,$C$4:$V$10001,1+$A$1)),D187,VLOOKUP(A187,$C$4:$V$10001,1+$A$1))</f>
        <v>One recharging point</v>
      </c>
      <c r="C187" s="334">
        <f t="shared" si="7"/>
        <v>184</v>
      </c>
      <c r="D187" s="263" t="s">
        <v>396</v>
      </c>
      <c r="E187" s="263" t="s">
        <v>1840</v>
      </c>
      <c r="F187" s="263" t="s">
        <v>1269</v>
      </c>
      <c r="G187" s="190" t="s">
        <v>1451</v>
      </c>
      <c r="H187" s="190" t="s">
        <v>2129</v>
      </c>
      <c r="I187" s="300" t="s">
        <v>2634</v>
      </c>
    </row>
    <row r="188" spans="1:9" s="334" customFormat="1" ht="13.15">
      <c r="A188" s="334">
        <f t="shared" si="6"/>
        <v>185</v>
      </c>
      <c r="B188" s="337" t="str">
        <f>IF(ISBLANK(VLOOKUP(A188,$C$4:$V$10001,1+$A$1)),D188,VLOOKUP(A188,$C$4:$V$10001,1+$A$1))</f>
        <v>None</v>
      </c>
      <c r="C188" s="334">
        <f t="shared" si="7"/>
        <v>185</v>
      </c>
      <c r="D188" s="263" t="s">
        <v>328</v>
      </c>
      <c r="E188" s="263" t="s">
        <v>832</v>
      </c>
      <c r="F188" s="263" t="s">
        <v>1214</v>
      </c>
      <c r="G188" s="187" t="s">
        <v>1452</v>
      </c>
      <c r="H188" s="187" t="s">
        <v>2128</v>
      </c>
      <c r="I188" s="294" t="s">
        <v>2594</v>
      </c>
    </row>
    <row r="189" spans="1:9" s="334" customFormat="1" ht="13.15">
      <c r="A189" s="334">
        <f t="shared" si="6"/>
        <v>186</v>
      </c>
      <c r="B189" s="337"/>
      <c r="C189" s="334">
        <f t="shared" si="7"/>
        <v>186</v>
      </c>
      <c r="D189" s="263"/>
      <c r="E189" s="263"/>
      <c r="F189" s="263"/>
      <c r="G189" s="187"/>
      <c r="H189" s="187"/>
      <c r="I189" s="294"/>
    </row>
    <row r="190" spans="1:9" s="334" customFormat="1" ht="13.15">
      <c r="A190" s="334">
        <f t="shared" si="6"/>
        <v>187</v>
      </c>
      <c r="B190" s="337" t="str">
        <f>IF(ISBLANK(VLOOKUP(A190,$C$4:$V$10001,1+$A$1)),D190,VLOOKUP(A190,$C$4:$V$10001,1+$A$1))</f>
        <v>To/from all levels</v>
      </c>
      <c r="C190" s="334">
        <f t="shared" si="7"/>
        <v>187</v>
      </c>
      <c r="D190" s="263" t="s">
        <v>265</v>
      </c>
      <c r="E190" s="263" t="s">
        <v>861</v>
      </c>
      <c r="F190" s="263" t="s">
        <v>1270</v>
      </c>
      <c r="G190" s="188" t="s">
        <v>1453</v>
      </c>
      <c r="H190" s="188" t="s">
        <v>2127</v>
      </c>
      <c r="I190" s="298" t="s">
        <v>2635</v>
      </c>
    </row>
    <row r="191" spans="1:9" s="334" customFormat="1" ht="13.15">
      <c r="A191" s="334">
        <f t="shared" si="6"/>
        <v>188</v>
      </c>
      <c r="B191" s="337" t="str">
        <f>IF(ISBLANK(VLOOKUP(A191,$C$4:$V$10001,1+$A$1)),D191,VLOOKUP(A191,$C$4:$V$10001,1+$A$1))</f>
        <v>To/from some levels</v>
      </c>
      <c r="C191" s="334">
        <f t="shared" si="7"/>
        <v>188</v>
      </c>
      <c r="D191" s="263" t="s">
        <v>266</v>
      </c>
      <c r="E191" s="263" t="s">
        <v>862</v>
      </c>
      <c r="F191" s="263" t="s">
        <v>1271</v>
      </c>
      <c r="G191" s="188" t="s">
        <v>1454</v>
      </c>
      <c r="H191" s="188" t="s">
        <v>2126</v>
      </c>
      <c r="I191" s="298" t="s">
        <v>2636</v>
      </c>
    </row>
    <row r="192" spans="1:9" s="334" customFormat="1" ht="25.5">
      <c r="A192" s="334">
        <f t="shared" si="6"/>
        <v>189</v>
      </c>
      <c r="B192" s="337" t="str">
        <f>IF(ISBLANK(VLOOKUP(A192,$C$4:$V$10001,1+$A$1)),D192,VLOOKUP(A192,$C$4:$V$10001,1+$A$1))</f>
        <v>No Escalators or Travellator</v>
      </c>
      <c r="C192" s="334">
        <f t="shared" si="7"/>
        <v>189</v>
      </c>
      <c r="D192" s="263" t="s">
        <v>267</v>
      </c>
      <c r="E192" s="263" t="s">
        <v>863</v>
      </c>
      <c r="F192" s="263" t="s">
        <v>1272</v>
      </c>
      <c r="G192" s="187" t="s">
        <v>1455</v>
      </c>
      <c r="H192" s="187" t="s">
        <v>2125</v>
      </c>
      <c r="I192" s="295" t="s">
        <v>2637</v>
      </c>
    </row>
    <row r="193" spans="1:9" s="334" customFormat="1" ht="13.15">
      <c r="A193" s="334">
        <f t="shared" si="6"/>
        <v>190</v>
      </c>
      <c r="B193" s="337"/>
      <c r="C193" s="334">
        <f t="shared" si="7"/>
        <v>190</v>
      </c>
      <c r="D193" s="265"/>
      <c r="E193" s="265"/>
      <c r="F193" s="265"/>
      <c r="G193" s="190"/>
      <c r="H193" s="190"/>
      <c r="I193" s="300"/>
    </row>
    <row r="194" spans="1:9" s="334" customFormat="1" ht="13.15">
      <c r="A194" s="334">
        <f t="shared" si="6"/>
        <v>191</v>
      </c>
      <c r="B194" s="337" t="str">
        <f>IF(ISBLANK(VLOOKUP(A194,$C$4:$V$10001,1+$A$1)),D194,VLOOKUP(A194,$C$4:$V$10001,1+$A$1))</f>
        <v xml:space="preserve"> &lt;10%</v>
      </c>
      <c r="C194" s="334">
        <f t="shared" si="7"/>
        <v>191</v>
      </c>
      <c r="D194" s="263" t="s">
        <v>167</v>
      </c>
      <c r="E194" s="263" t="s">
        <v>167</v>
      </c>
      <c r="F194" s="263" t="s">
        <v>1273</v>
      </c>
      <c r="G194" s="190" t="s">
        <v>167</v>
      </c>
      <c r="H194" s="190" t="s">
        <v>167</v>
      </c>
      <c r="I194" s="300" t="s">
        <v>167</v>
      </c>
    </row>
    <row r="195" spans="1:9" s="334" customFormat="1" ht="13.15">
      <c r="A195" s="334">
        <f t="shared" si="6"/>
        <v>192</v>
      </c>
      <c r="B195" s="337" t="str">
        <f>IF(ISBLANK(VLOOKUP(A195,$C$4:$V$10001,1+$A$1)),D195,VLOOKUP(A195,$C$4:$V$10001,1+$A$1))</f>
        <v xml:space="preserve"> 10-15%</v>
      </c>
      <c r="C195" s="334">
        <f t="shared" si="7"/>
        <v>192</v>
      </c>
      <c r="D195" s="263" t="s">
        <v>168</v>
      </c>
      <c r="E195" s="263" t="s">
        <v>168</v>
      </c>
      <c r="F195" s="263" t="s">
        <v>1274</v>
      </c>
      <c r="G195" s="190" t="s">
        <v>168</v>
      </c>
      <c r="H195" s="190" t="s">
        <v>168</v>
      </c>
      <c r="I195" s="300" t="s">
        <v>168</v>
      </c>
    </row>
    <row r="196" spans="1:9" s="334" customFormat="1" ht="13.15">
      <c r="A196" s="334">
        <f t="shared" ref="A196:A259" si="8">C196</f>
        <v>193</v>
      </c>
      <c r="B196" s="337" t="str">
        <f>IF(ISBLANK(VLOOKUP(A196,$C$4:$V$10001,1+$A$1)),D196,VLOOKUP(A196,$C$4:$V$10001,1+$A$1))</f>
        <v>&gt;15%</v>
      </c>
      <c r="C196" s="334">
        <f t="shared" si="7"/>
        <v>193</v>
      </c>
      <c r="D196" s="263" t="s">
        <v>169</v>
      </c>
      <c r="E196" s="263" t="s">
        <v>169</v>
      </c>
      <c r="F196" s="263" t="s">
        <v>169</v>
      </c>
      <c r="G196" s="190" t="s">
        <v>169</v>
      </c>
      <c r="H196" s="190" t="s">
        <v>169</v>
      </c>
      <c r="I196" s="300" t="s">
        <v>169</v>
      </c>
    </row>
    <row r="197" spans="1:9" s="334" customFormat="1" ht="13.15">
      <c r="A197" s="334">
        <f t="shared" si="8"/>
        <v>194</v>
      </c>
      <c r="B197" s="337" t="str">
        <f>IF(ISBLANK(VLOOKUP(A197,$C$4:$V$10001,1+$A$1)),D197,VLOOKUP(A197,$C$4:$V$10001,1+$A$1))</f>
        <v>no ramps</v>
      </c>
      <c r="C197" s="334">
        <f t="shared" si="7"/>
        <v>194</v>
      </c>
      <c r="D197" s="263" t="s">
        <v>170</v>
      </c>
      <c r="E197" s="263" t="s">
        <v>864</v>
      </c>
      <c r="F197" s="263" t="s">
        <v>1275</v>
      </c>
      <c r="G197" s="187" t="s">
        <v>1393</v>
      </c>
      <c r="H197" s="187" t="s">
        <v>2124</v>
      </c>
      <c r="I197" s="294" t="s">
        <v>2575</v>
      </c>
    </row>
    <row r="198" spans="1:9" s="334" customFormat="1" ht="13.15">
      <c r="A198" s="334">
        <f t="shared" si="8"/>
        <v>195</v>
      </c>
      <c r="B198" s="337"/>
      <c r="C198" s="334">
        <f t="shared" ref="C198:C261" si="9">+C197+1</f>
        <v>195</v>
      </c>
      <c r="D198" s="264"/>
      <c r="E198" s="264"/>
      <c r="F198" s="264"/>
      <c r="G198" s="188"/>
      <c r="H198" s="188"/>
      <c r="I198" s="298"/>
    </row>
    <row r="199" spans="1:9" s="334" customFormat="1" ht="13.15">
      <c r="A199" s="334">
        <f t="shared" si="8"/>
        <v>196</v>
      </c>
      <c r="B199" s="337" t="str">
        <f>IF(ISBLANK(VLOOKUP(A199,$C$4:$V$10001,1+$A$1)),D199,VLOOKUP(A199,$C$4:$V$10001,1+$A$1))</f>
        <v>&lt; 3m</v>
      </c>
      <c r="C199" s="334">
        <f t="shared" si="9"/>
        <v>196</v>
      </c>
      <c r="D199" s="263" t="s">
        <v>173</v>
      </c>
      <c r="E199" s="263" t="s">
        <v>173</v>
      </c>
      <c r="F199" s="263" t="s">
        <v>173</v>
      </c>
      <c r="G199" s="188" t="s">
        <v>173</v>
      </c>
      <c r="H199" s="188" t="s">
        <v>173</v>
      </c>
      <c r="I199" s="298" t="s">
        <v>173</v>
      </c>
    </row>
    <row r="200" spans="1:9" s="334" customFormat="1" ht="13.15">
      <c r="A200" s="334">
        <f t="shared" si="8"/>
        <v>197</v>
      </c>
      <c r="B200" s="337" t="str">
        <f>IF(ISBLANK(VLOOKUP(A200,$C$4:$V$10001,1+$A$1)),D200,VLOOKUP(A200,$C$4:$V$10001,1+$A$1))</f>
        <v>3m - 3.3m</v>
      </c>
      <c r="C200" s="334">
        <f t="shared" si="9"/>
        <v>197</v>
      </c>
      <c r="D200" s="263" t="s">
        <v>174</v>
      </c>
      <c r="E200" s="263" t="s">
        <v>174</v>
      </c>
      <c r="F200" s="263" t="s">
        <v>174</v>
      </c>
      <c r="G200" s="187" t="s">
        <v>174</v>
      </c>
      <c r="H200" s="187" t="s">
        <v>174</v>
      </c>
      <c r="I200" s="294" t="s">
        <v>174</v>
      </c>
    </row>
    <row r="201" spans="1:9" s="334" customFormat="1" ht="13.15">
      <c r="A201" s="334">
        <f t="shared" si="8"/>
        <v>198</v>
      </c>
      <c r="B201" s="337" t="str">
        <f>IF(ISBLANK(VLOOKUP(A201,$C$4:$V$10001,1+$A$1)),D201,VLOOKUP(A201,$C$4:$V$10001,1+$A$1))</f>
        <v>&gt;3.3m</v>
      </c>
      <c r="C201" s="334">
        <f t="shared" si="9"/>
        <v>198</v>
      </c>
      <c r="D201" s="263" t="s">
        <v>175</v>
      </c>
      <c r="E201" s="263" t="s">
        <v>175</v>
      </c>
      <c r="F201" s="263" t="s">
        <v>175</v>
      </c>
      <c r="G201" s="190" t="s">
        <v>175</v>
      </c>
      <c r="H201" s="190" t="s">
        <v>175</v>
      </c>
      <c r="I201" s="300" t="s">
        <v>175</v>
      </c>
    </row>
    <row r="202" spans="1:9" s="334" customFormat="1" ht="13.15">
      <c r="A202" s="334">
        <f t="shared" si="8"/>
        <v>199</v>
      </c>
      <c r="B202" s="337" t="str">
        <f>IF(ISBLANK(VLOOKUP(A202,$C$4:$V$10001,1+$A$1)),D202,VLOOKUP(A202,$C$4:$V$10001,1+$A$1))</f>
        <v>no ramps</v>
      </c>
      <c r="C202" s="334">
        <f t="shared" si="9"/>
        <v>199</v>
      </c>
      <c r="D202" s="263" t="s">
        <v>170</v>
      </c>
      <c r="E202" s="263" t="s">
        <v>864</v>
      </c>
      <c r="F202" s="263" t="s">
        <v>1275</v>
      </c>
      <c r="G202" s="190" t="s">
        <v>1393</v>
      </c>
      <c r="H202" s="190" t="s">
        <v>2124</v>
      </c>
      <c r="I202" s="294" t="s">
        <v>2575</v>
      </c>
    </row>
    <row r="203" spans="1:9" s="334" customFormat="1" ht="13.15">
      <c r="A203" s="334">
        <f t="shared" si="8"/>
        <v>200</v>
      </c>
      <c r="B203" s="337"/>
      <c r="C203" s="334">
        <f t="shared" si="9"/>
        <v>200</v>
      </c>
      <c r="D203" s="265"/>
      <c r="E203" s="265"/>
      <c r="F203" s="265"/>
      <c r="G203" s="190"/>
      <c r="H203" s="190"/>
      <c r="I203" s="300"/>
    </row>
    <row r="204" spans="1:9" s="334" customFormat="1" ht="13.15">
      <c r="A204" s="334">
        <f t="shared" si="8"/>
        <v>201</v>
      </c>
      <c r="B204" s="337" t="str">
        <f>IF(ISBLANK(VLOOKUP(A204,$C$4:$V$10001,1+$A$1)),D204,VLOOKUP(A204,$C$4:$V$10001,1+$A$1))</f>
        <v>&lt; 4m</v>
      </c>
      <c r="C204" s="334">
        <f t="shared" si="9"/>
        <v>201</v>
      </c>
      <c r="D204" s="263" t="s">
        <v>526</v>
      </c>
      <c r="E204" s="263" t="s">
        <v>526</v>
      </c>
      <c r="F204" s="263" t="s">
        <v>526</v>
      </c>
      <c r="G204" s="187" t="s">
        <v>526</v>
      </c>
      <c r="H204" s="187" t="s">
        <v>526</v>
      </c>
      <c r="I204" s="294" t="s">
        <v>526</v>
      </c>
    </row>
    <row r="205" spans="1:9" s="334" customFormat="1" ht="13.15">
      <c r="A205" s="334">
        <f t="shared" si="8"/>
        <v>202</v>
      </c>
      <c r="B205" s="337" t="str">
        <f>IF(ISBLANK(VLOOKUP(A205,$C$4:$V$10001,1+$A$1)),D205,VLOOKUP(A205,$C$4:$V$10001,1+$A$1))</f>
        <v>4m - 4.3m</v>
      </c>
      <c r="C205" s="334">
        <f t="shared" si="9"/>
        <v>202</v>
      </c>
      <c r="D205" s="263" t="s">
        <v>527</v>
      </c>
      <c r="E205" s="263" t="s">
        <v>527</v>
      </c>
      <c r="F205" s="263" t="s">
        <v>527</v>
      </c>
      <c r="G205" s="187" t="s">
        <v>527</v>
      </c>
      <c r="H205" s="187" t="s">
        <v>527</v>
      </c>
      <c r="I205" s="294" t="s">
        <v>527</v>
      </c>
    </row>
    <row r="206" spans="1:9" s="334" customFormat="1" ht="13.15">
      <c r="A206" s="334">
        <f t="shared" si="8"/>
        <v>203</v>
      </c>
      <c r="B206" s="337" t="str">
        <f>IF(ISBLANK(VLOOKUP(A206,$C$4:$V$10001,1+$A$1)),D206,VLOOKUP(A206,$C$4:$V$10001,1+$A$1))</f>
        <v>&gt;4.3m</v>
      </c>
      <c r="C206" s="334">
        <f t="shared" si="9"/>
        <v>203</v>
      </c>
      <c r="D206" s="263" t="s">
        <v>528</v>
      </c>
      <c r="E206" s="263" t="s">
        <v>528</v>
      </c>
      <c r="F206" s="263" t="s">
        <v>528</v>
      </c>
      <c r="G206" s="187" t="s">
        <v>528</v>
      </c>
      <c r="H206" s="187" t="s">
        <v>528</v>
      </c>
      <c r="I206" s="294" t="s">
        <v>528</v>
      </c>
    </row>
    <row r="207" spans="1:9" s="334" customFormat="1" ht="13.15">
      <c r="A207" s="334">
        <f t="shared" si="8"/>
        <v>204</v>
      </c>
      <c r="B207" s="337" t="str">
        <f>IF(ISBLANK(VLOOKUP(A207,$C$4:$V$10001,1+$A$1)),D207,VLOOKUP(A207,$C$4:$V$10001,1+$A$1))</f>
        <v>no ramps</v>
      </c>
      <c r="C207" s="334">
        <f t="shared" si="9"/>
        <v>204</v>
      </c>
      <c r="D207" s="263" t="s">
        <v>170</v>
      </c>
      <c r="E207" s="263" t="s">
        <v>170</v>
      </c>
      <c r="F207" s="263" t="s">
        <v>1275</v>
      </c>
      <c r="G207" s="188" t="s">
        <v>1393</v>
      </c>
      <c r="H207" s="188" t="s">
        <v>2124</v>
      </c>
      <c r="I207" s="294" t="s">
        <v>2638</v>
      </c>
    </row>
    <row r="208" spans="1:9" s="334" customFormat="1" ht="13.15">
      <c r="A208" s="334">
        <f t="shared" si="8"/>
        <v>205</v>
      </c>
      <c r="B208" s="337"/>
      <c r="C208" s="334">
        <f t="shared" si="9"/>
        <v>205</v>
      </c>
      <c r="D208" s="264"/>
      <c r="E208" s="264"/>
      <c r="F208" s="264"/>
      <c r="G208" s="188"/>
      <c r="H208" s="188"/>
      <c r="I208" s="298"/>
    </row>
    <row r="209" spans="1:9" s="334" customFormat="1" ht="13.15">
      <c r="A209" s="334">
        <f t="shared" si="8"/>
        <v>206</v>
      </c>
      <c r="B209" s="337" t="str">
        <f>IF(ISBLANK(VLOOKUP(A209,$C$4:$V$10001,1+$A$1)),D209,VLOOKUP(A209,$C$4:$V$10001,1+$A$1))</f>
        <v>&lt; 9m</v>
      </c>
      <c r="C209" s="334">
        <f t="shared" si="9"/>
        <v>206</v>
      </c>
      <c r="D209" s="263" t="s">
        <v>529</v>
      </c>
      <c r="E209" s="263" t="s">
        <v>529</v>
      </c>
      <c r="F209" s="263" t="s">
        <v>529</v>
      </c>
      <c r="G209" s="338" t="s">
        <v>529</v>
      </c>
      <c r="H209" s="338" t="s">
        <v>529</v>
      </c>
      <c r="I209" s="338" t="s">
        <v>529</v>
      </c>
    </row>
    <row r="210" spans="1:9" s="334" customFormat="1" ht="13.15">
      <c r="A210" s="334">
        <f t="shared" si="8"/>
        <v>207</v>
      </c>
      <c r="B210" s="337" t="str">
        <f>IF(ISBLANK(VLOOKUP(A210,$C$4:$V$10001,1+$A$1)),D210,VLOOKUP(A210,$C$4:$V$10001,1+$A$1))</f>
        <v>9m – 10m</v>
      </c>
      <c r="C210" s="334">
        <f t="shared" si="9"/>
        <v>207</v>
      </c>
      <c r="D210" s="263" t="s">
        <v>530</v>
      </c>
      <c r="E210" s="263" t="s">
        <v>873</v>
      </c>
      <c r="F210" s="263" t="s">
        <v>530</v>
      </c>
      <c r="G210" s="338" t="s">
        <v>530</v>
      </c>
      <c r="H210" s="338" t="s">
        <v>530</v>
      </c>
      <c r="I210" s="338" t="s">
        <v>530</v>
      </c>
    </row>
    <row r="211" spans="1:9" s="334" customFormat="1" ht="13.15">
      <c r="A211" s="334">
        <f t="shared" si="8"/>
        <v>208</v>
      </c>
      <c r="B211" s="337" t="str">
        <f>IF(ISBLANK(VLOOKUP(A211,$C$4:$V$10001,1+$A$1)),D211,VLOOKUP(A211,$C$4:$V$10001,1+$A$1))</f>
        <v>&gt;10m</v>
      </c>
      <c r="C211" s="334">
        <f t="shared" si="9"/>
        <v>208</v>
      </c>
      <c r="D211" s="263" t="s">
        <v>531</v>
      </c>
      <c r="E211" s="263" t="s">
        <v>531</v>
      </c>
      <c r="F211" s="263" t="s">
        <v>1276</v>
      </c>
      <c r="G211" s="338" t="s">
        <v>531</v>
      </c>
      <c r="H211" s="338" t="s">
        <v>531</v>
      </c>
      <c r="I211" s="338" t="s">
        <v>531</v>
      </c>
    </row>
    <row r="212" spans="1:9" s="334" customFormat="1" ht="13.15">
      <c r="A212" s="334">
        <f t="shared" si="8"/>
        <v>209</v>
      </c>
      <c r="B212" s="337" t="str">
        <f>IF(ISBLANK(VLOOKUP(A212,$C$4:$V$10001,1+$A$1)),D212,VLOOKUP(A212,$C$4:$V$10001,1+$A$1))</f>
        <v>no ramps</v>
      </c>
      <c r="C212" s="334">
        <f t="shared" si="9"/>
        <v>209</v>
      </c>
      <c r="D212" s="263" t="s">
        <v>170</v>
      </c>
      <c r="E212" s="263" t="s">
        <v>865</v>
      </c>
      <c r="F212" s="263" t="s">
        <v>1275</v>
      </c>
      <c r="G212" s="338" t="s">
        <v>1393</v>
      </c>
      <c r="H212" s="338" t="s">
        <v>2124</v>
      </c>
      <c r="I212" s="294" t="s">
        <v>2575</v>
      </c>
    </row>
    <row r="213" spans="1:9" s="334" customFormat="1" ht="13.15">
      <c r="A213" s="334">
        <f t="shared" si="8"/>
        <v>210</v>
      </c>
      <c r="B213" s="337"/>
      <c r="C213" s="334">
        <f t="shared" si="9"/>
        <v>210</v>
      </c>
      <c r="D213" s="263"/>
      <c r="E213" s="263"/>
      <c r="F213" s="263"/>
      <c r="G213" s="338"/>
      <c r="H213" s="338"/>
      <c r="I213" s="338"/>
    </row>
    <row r="214" spans="1:9" s="334" customFormat="1" ht="13.15">
      <c r="A214" s="334">
        <f t="shared" si="8"/>
        <v>211</v>
      </c>
      <c r="B214" s="337" t="str">
        <f>IF(ISBLANK(VLOOKUP(A214,$C$4:$V$10001,1+$A$1)),D214,VLOOKUP(A214,$C$4:$V$10001,1+$A$1))</f>
        <v xml:space="preserve"> &lt;7.5m</v>
      </c>
      <c r="C214" s="334">
        <f t="shared" si="9"/>
        <v>211</v>
      </c>
      <c r="D214" s="263" t="s">
        <v>176</v>
      </c>
      <c r="E214" s="263" t="s">
        <v>176</v>
      </c>
      <c r="F214" s="263" t="s">
        <v>1277</v>
      </c>
      <c r="G214" s="338" t="s">
        <v>176</v>
      </c>
      <c r="H214" s="338" t="s">
        <v>176</v>
      </c>
      <c r="I214" s="338" t="s">
        <v>176</v>
      </c>
    </row>
    <row r="215" spans="1:9" s="334" customFormat="1" ht="13.15">
      <c r="A215" s="334">
        <f t="shared" si="8"/>
        <v>212</v>
      </c>
      <c r="B215" s="337" t="str">
        <f>IF(ISBLANK(VLOOKUP(A215,$C$4:$V$10001,1+$A$1)),D215,VLOOKUP(A215,$C$4:$V$10001,1+$A$1))</f>
        <v>7.5m – 9m</v>
      </c>
      <c r="C215" s="334">
        <f t="shared" si="9"/>
        <v>212</v>
      </c>
      <c r="D215" s="263" t="s">
        <v>532</v>
      </c>
      <c r="E215" s="263" t="s">
        <v>874</v>
      </c>
      <c r="F215" s="263" t="s">
        <v>532</v>
      </c>
      <c r="G215" s="338" t="s">
        <v>532</v>
      </c>
      <c r="H215" s="338" t="s">
        <v>532</v>
      </c>
      <c r="I215" s="338" t="s">
        <v>532</v>
      </c>
    </row>
    <row r="216" spans="1:9" s="334" customFormat="1" ht="13.15">
      <c r="A216" s="334">
        <f t="shared" si="8"/>
        <v>213</v>
      </c>
      <c r="B216" s="337" t="str">
        <f>IF(ISBLANK(VLOOKUP(A216,$C$4:$V$10001,1+$A$1)),D216,VLOOKUP(A216,$C$4:$V$10001,1+$A$1))</f>
        <v>&gt;9m</v>
      </c>
      <c r="C216" s="334">
        <f t="shared" si="9"/>
        <v>213</v>
      </c>
      <c r="D216" s="263" t="s">
        <v>533</v>
      </c>
      <c r="E216" s="263" t="s">
        <v>533</v>
      </c>
      <c r="F216" s="263" t="s">
        <v>1278</v>
      </c>
      <c r="G216" s="338" t="s">
        <v>533</v>
      </c>
      <c r="H216" s="338" t="s">
        <v>533</v>
      </c>
      <c r="I216" s="338" t="s">
        <v>533</v>
      </c>
    </row>
    <row r="217" spans="1:9" s="334" customFormat="1" ht="13.15">
      <c r="A217" s="334">
        <f t="shared" si="8"/>
        <v>214</v>
      </c>
      <c r="B217" s="337" t="str">
        <f>IF(ISBLANK(VLOOKUP(A217,$C$4:$V$10001,1+$A$1)),D217,VLOOKUP(A217,$C$4:$V$10001,1+$A$1))</f>
        <v>no ramps</v>
      </c>
      <c r="C217" s="334">
        <f t="shared" si="9"/>
        <v>214</v>
      </c>
      <c r="D217" s="263" t="s">
        <v>170</v>
      </c>
      <c r="E217" s="263" t="s">
        <v>865</v>
      </c>
      <c r="F217" s="263" t="s">
        <v>1275</v>
      </c>
      <c r="G217" s="338" t="s">
        <v>1393</v>
      </c>
      <c r="H217" s="338" t="s">
        <v>2124</v>
      </c>
      <c r="I217" s="294" t="s">
        <v>2575</v>
      </c>
    </row>
    <row r="218" spans="1:9" s="334" customFormat="1" ht="13.15">
      <c r="A218" s="334">
        <f t="shared" si="8"/>
        <v>215</v>
      </c>
      <c r="B218" s="337"/>
      <c r="C218" s="334">
        <f t="shared" si="9"/>
        <v>215</v>
      </c>
      <c r="D218" s="263"/>
      <c r="E218" s="263"/>
      <c r="F218" s="263"/>
      <c r="G218" s="338"/>
      <c r="H218" s="338"/>
      <c r="I218" s="338"/>
    </row>
    <row r="219" spans="1:9" s="334" customFormat="1" ht="13.15">
      <c r="A219" s="334">
        <f t="shared" si="8"/>
        <v>216</v>
      </c>
      <c r="B219" s="337" t="str">
        <f>IF(ISBLANK(VLOOKUP(A219,$C$4:$V$10001,1+$A$1)),D219,VLOOKUP(A219,$C$4:$V$10001,1+$A$1))</f>
        <v>&lt;5%</v>
      </c>
      <c r="C219" s="334">
        <f t="shared" si="9"/>
        <v>216</v>
      </c>
      <c r="D219" s="263" t="s">
        <v>534</v>
      </c>
      <c r="E219" s="263" t="s">
        <v>534</v>
      </c>
      <c r="F219" s="263" t="s">
        <v>1279</v>
      </c>
      <c r="G219" s="338" t="s">
        <v>534</v>
      </c>
      <c r="H219" s="338" t="s">
        <v>534</v>
      </c>
      <c r="I219" s="338" t="s">
        <v>534</v>
      </c>
    </row>
    <row r="220" spans="1:9" s="334" customFormat="1" ht="13.15">
      <c r="A220" s="334">
        <f t="shared" si="8"/>
        <v>217</v>
      </c>
      <c r="B220" s="337" t="str">
        <f>IF(ISBLANK(VLOOKUP(A220,$C$4:$V$10001,1+$A$1)),D220,VLOOKUP(A220,$C$4:$V$10001,1+$A$1))</f>
        <v>5% -7%</v>
      </c>
      <c r="C220" s="334">
        <f t="shared" si="9"/>
        <v>217</v>
      </c>
      <c r="D220" s="263" t="s">
        <v>177</v>
      </c>
      <c r="E220" s="263" t="s">
        <v>177</v>
      </c>
      <c r="F220" s="263" t="s">
        <v>1280</v>
      </c>
      <c r="G220" s="338" t="s">
        <v>177</v>
      </c>
      <c r="H220" s="338" t="s">
        <v>177</v>
      </c>
      <c r="I220" s="338" t="s">
        <v>177</v>
      </c>
    </row>
    <row r="221" spans="1:9" s="334" customFormat="1" ht="13.15">
      <c r="A221" s="334">
        <f t="shared" si="8"/>
        <v>218</v>
      </c>
      <c r="B221" s="337" t="str">
        <f>IF(ISBLANK(VLOOKUP(A221,$C$4:$V$10001,1+$A$1)),D221,VLOOKUP(A221,$C$4:$V$10001,1+$A$1))</f>
        <v>&gt;7%</v>
      </c>
      <c r="C221" s="334">
        <f t="shared" si="9"/>
        <v>218</v>
      </c>
      <c r="D221" s="263" t="s">
        <v>535</v>
      </c>
      <c r="E221" s="263" t="s">
        <v>535</v>
      </c>
      <c r="F221" s="263" t="s">
        <v>1281</v>
      </c>
      <c r="G221" s="338" t="s">
        <v>535</v>
      </c>
      <c r="H221" s="338" t="s">
        <v>535</v>
      </c>
      <c r="I221" s="338" t="s">
        <v>535</v>
      </c>
    </row>
    <row r="222" spans="1:9" s="334" customFormat="1" ht="13.15">
      <c r="A222" s="334">
        <f t="shared" si="8"/>
        <v>219</v>
      </c>
      <c r="B222" s="337" t="str">
        <f>IF(ISBLANK(VLOOKUP(A222,$C$4:$V$10001,1+$A$1)),D222,VLOOKUP(A222,$C$4:$V$10001,1+$A$1))</f>
        <v>no gradient</v>
      </c>
      <c r="C222" s="334">
        <f t="shared" si="9"/>
        <v>219</v>
      </c>
      <c r="D222" s="263" t="s">
        <v>536</v>
      </c>
      <c r="E222" s="263" t="s">
        <v>866</v>
      </c>
      <c r="F222" s="263" t="s">
        <v>1282</v>
      </c>
      <c r="G222" s="338" t="s">
        <v>1456</v>
      </c>
      <c r="H222" s="338" t="s">
        <v>2123</v>
      </c>
      <c r="I222" s="339" t="s">
        <v>2575</v>
      </c>
    </row>
    <row r="223" spans="1:9" s="334" customFormat="1" ht="13.15">
      <c r="A223" s="334">
        <f t="shared" si="8"/>
        <v>220</v>
      </c>
      <c r="B223" s="337"/>
      <c r="C223" s="334">
        <f t="shared" si="9"/>
        <v>220</v>
      </c>
      <c r="D223" s="263"/>
      <c r="E223" s="263"/>
      <c r="F223" s="263"/>
      <c r="G223" s="338"/>
      <c r="H223" s="338"/>
      <c r="I223" s="338"/>
    </row>
    <row r="224" spans="1:9" s="334" customFormat="1" ht="13.15">
      <c r="A224" s="334">
        <f t="shared" si="8"/>
        <v>221</v>
      </c>
      <c r="B224" s="337" t="str">
        <f>IF(ISBLANK(VLOOKUP(A224,$C$4:$V$10001,1+$A$1)),D224,VLOOKUP(A224,$C$4:$V$10001,1+$A$1))</f>
        <v>multi-storey open daylight</v>
      </c>
      <c r="C224" s="334">
        <f t="shared" si="9"/>
        <v>221</v>
      </c>
      <c r="D224" s="269" t="s">
        <v>1775</v>
      </c>
      <c r="E224" s="269" t="s">
        <v>2766</v>
      </c>
      <c r="F224" s="268"/>
      <c r="G224" s="341" t="s">
        <v>1853</v>
      </c>
      <c r="H224" s="341" t="s">
        <v>2122</v>
      </c>
      <c r="I224" s="342" t="s">
        <v>2646</v>
      </c>
    </row>
    <row r="225" spans="1:9" s="334" customFormat="1" ht="13.15">
      <c r="A225" s="334">
        <f t="shared" si="8"/>
        <v>222</v>
      </c>
      <c r="B225" s="337" t="str">
        <f>IF(ISBLANK(VLOOKUP(A225,$C$4:$V$10001,1+$A$1)),D225,VLOOKUP(A225,$C$4:$V$10001,1+$A$1))</f>
        <v>multi-storey closed no daylight</v>
      </c>
      <c r="C225" s="334">
        <f t="shared" si="9"/>
        <v>222</v>
      </c>
      <c r="D225" s="269" t="s">
        <v>1776</v>
      </c>
      <c r="E225" s="269" t="s">
        <v>2767</v>
      </c>
      <c r="F225" s="268"/>
      <c r="G225" s="341" t="s">
        <v>1854</v>
      </c>
      <c r="H225" s="341" t="s">
        <v>2121</v>
      </c>
      <c r="I225" s="342" t="s">
        <v>2645</v>
      </c>
    </row>
    <row r="226" spans="1:9" s="334" customFormat="1" ht="13.15">
      <c r="A226" s="334">
        <f t="shared" si="8"/>
        <v>223</v>
      </c>
      <c r="B226" s="337" t="str">
        <f>IF(ISBLANK(VLOOKUP(A226,$C$4:$V$10001,1+$A$1)),D226,VLOOKUP(A226,$C$4:$V$10001,1+$A$1))</f>
        <v>underground</v>
      </c>
      <c r="C226" s="334">
        <f t="shared" si="9"/>
        <v>223</v>
      </c>
      <c r="D226" s="269" t="s">
        <v>1777</v>
      </c>
      <c r="E226" s="269" t="s">
        <v>2768</v>
      </c>
      <c r="F226" s="268"/>
      <c r="G226" s="341" t="s">
        <v>1855</v>
      </c>
      <c r="H226" s="341" t="s">
        <v>2120</v>
      </c>
      <c r="I226" s="341" t="s">
        <v>2639</v>
      </c>
    </row>
    <row r="227" spans="1:9" s="334" customFormat="1" ht="13.15">
      <c r="A227" s="334">
        <f t="shared" si="8"/>
        <v>224</v>
      </c>
      <c r="B227" s="337"/>
      <c r="C227" s="334">
        <f t="shared" si="9"/>
        <v>224</v>
      </c>
      <c r="D227" s="269"/>
      <c r="E227" s="269"/>
      <c r="F227" s="268"/>
      <c r="G227" s="341"/>
      <c r="H227" s="341"/>
      <c r="I227" s="341"/>
    </row>
    <row r="228" spans="1:9" s="334" customFormat="1" ht="13.15">
      <c r="A228" s="334">
        <f t="shared" si="8"/>
        <v>225</v>
      </c>
      <c r="B228" s="337" t="str">
        <f>IF(ISBLANK(VLOOKUP(A228,$C$4:$V$10001,1+$A$1)),D228,VLOOKUP(A228,$C$4:$V$10001,1+$A$1))</f>
        <v>split level</v>
      </c>
      <c r="C228" s="334">
        <f t="shared" si="9"/>
        <v>225</v>
      </c>
      <c r="D228" s="269" t="s">
        <v>1779</v>
      </c>
      <c r="E228" s="269" t="s">
        <v>1779</v>
      </c>
      <c r="F228" s="268"/>
      <c r="G228" s="341" t="s">
        <v>1779</v>
      </c>
      <c r="H228" s="341" t="s">
        <v>2119</v>
      </c>
      <c r="I228" s="341" t="s">
        <v>2647</v>
      </c>
    </row>
    <row r="229" spans="1:9" s="334" customFormat="1" ht="26.25">
      <c r="A229" s="334">
        <f t="shared" si="8"/>
        <v>226</v>
      </c>
      <c r="B229" s="337" t="str">
        <f>IF(ISBLANK(VLOOKUP(A229,$C$4:$V$10001,1+$A$1)),D229,VLOOKUP(A229,$C$4:$V$10001,1+$A$1))</f>
        <v>floors with helicons or straight ramps</v>
      </c>
      <c r="C229" s="334">
        <f t="shared" si="9"/>
        <v>226</v>
      </c>
      <c r="D229" s="269" t="s">
        <v>1781</v>
      </c>
      <c r="E229" s="357" t="s">
        <v>2797</v>
      </c>
      <c r="F229" s="268"/>
      <c r="G229" s="341" t="s">
        <v>1856</v>
      </c>
      <c r="H229" s="341" t="s">
        <v>2118</v>
      </c>
      <c r="I229" s="342" t="s">
        <v>2648</v>
      </c>
    </row>
    <row r="230" spans="1:9" s="334" customFormat="1" ht="13.15">
      <c r="A230" s="334">
        <f t="shared" si="8"/>
        <v>227</v>
      </c>
      <c r="B230" s="337" t="str">
        <f>IF(ISBLANK(VLOOKUP(A230,$C$4:$V$10001,1+$A$1)),D230,VLOOKUP(A230,$C$4:$V$10001,1+$A$1))</f>
        <v>ramped parking floors</v>
      </c>
      <c r="C230" s="334">
        <f t="shared" si="9"/>
        <v>227</v>
      </c>
      <c r="D230" s="269" t="s">
        <v>1780</v>
      </c>
      <c r="E230" s="269" t="s">
        <v>2769</v>
      </c>
      <c r="F230" s="268"/>
      <c r="G230" s="341" t="s">
        <v>1857</v>
      </c>
      <c r="H230" s="341"/>
      <c r="I230" s="341" t="s">
        <v>2640</v>
      </c>
    </row>
    <row r="231" spans="1:9" s="334" customFormat="1" ht="13.15">
      <c r="A231" s="334">
        <f t="shared" si="8"/>
        <v>228</v>
      </c>
      <c r="B231" s="337" t="str">
        <f>IF(ISBLANK(VLOOKUP(A231,$C$4:$V$10001,1+$A$1)),D231,VLOOKUP(A231,$C$4:$V$10001,1+$A$1))</f>
        <v>other</v>
      </c>
      <c r="C231" s="334">
        <f t="shared" si="9"/>
        <v>228</v>
      </c>
      <c r="D231" s="269" t="s">
        <v>1782</v>
      </c>
      <c r="E231" s="269" t="s">
        <v>2770</v>
      </c>
      <c r="F231" s="268"/>
      <c r="G231" s="341" t="s">
        <v>1858</v>
      </c>
      <c r="H231" s="341" t="s">
        <v>2115</v>
      </c>
      <c r="I231" s="341" t="s">
        <v>2641</v>
      </c>
    </row>
    <row r="232" spans="1:9" s="334" customFormat="1" ht="13.15">
      <c r="A232" s="334">
        <f t="shared" si="8"/>
        <v>229</v>
      </c>
      <c r="B232" s="337"/>
      <c r="C232" s="334">
        <f t="shared" si="9"/>
        <v>229</v>
      </c>
      <c r="D232" s="269"/>
      <c r="E232" s="269"/>
      <c r="F232" s="268"/>
      <c r="G232" s="341"/>
      <c r="H232" s="341"/>
      <c r="I232" s="341"/>
    </row>
    <row r="233" spans="1:9" s="334" customFormat="1" ht="13.15">
      <c r="A233" s="334">
        <f t="shared" si="8"/>
        <v>230</v>
      </c>
      <c r="B233" s="337" t="str">
        <f>IF(ISBLANK(VLOOKUP(A233,$C$4:$V$10001,1+$A$1)),D233,VLOOKUP(A233,$C$4:$V$10001,1+$A$1))</f>
        <v>barrier/gate control</v>
      </c>
      <c r="C233" s="334">
        <f t="shared" si="9"/>
        <v>230</v>
      </c>
      <c r="D233" s="269" t="s">
        <v>1783</v>
      </c>
      <c r="E233" s="269" t="s">
        <v>2771</v>
      </c>
      <c r="F233" s="268"/>
      <c r="G233" s="341" t="s">
        <v>1859</v>
      </c>
      <c r="H233" s="341" t="s">
        <v>2117</v>
      </c>
      <c r="I233" s="341" t="s">
        <v>2642</v>
      </c>
    </row>
    <row r="234" spans="1:9" s="334" customFormat="1" ht="13.15">
      <c r="A234" s="334">
        <f t="shared" si="8"/>
        <v>231</v>
      </c>
      <c r="B234" s="337" t="str">
        <f>IF(ISBLANK(VLOOKUP(A234,$C$4:$V$10001,1+$A$1)),D234,VLOOKUP(A234,$C$4:$V$10001,1+$A$1))</f>
        <v>P&amp;D control</v>
      </c>
      <c r="C234" s="334">
        <f t="shared" si="9"/>
        <v>231</v>
      </c>
      <c r="D234" s="269" t="s">
        <v>1784</v>
      </c>
      <c r="E234" s="269" t="s">
        <v>2772</v>
      </c>
      <c r="F234" s="268"/>
      <c r="G234" s="341" t="s">
        <v>1860</v>
      </c>
      <c r="H234" s="341" t="s">
        <v>2116</v>
      </c>
      <c r="I234" s="341" t="s">
        <v>2649</v>
      </c>
    </row>
    <row r="235" spans="1:9" s="334" customFormat="1" ht="13.15">
      <c r="A235" s="334">
        <f t="shared" si="8"/>
        <v>232</v>
      </c>
      <c r="B235" s="337" t="str">
        <f>IF(ISBLANK(VLOOKUP(A235,$C$4:$V$10001,1+$A$1)),D235,VLOOKUP(A235,$C$4:$V$10001,1+$A$1))</f>
        <v>other</v>
      </c>
      <c r="C235" s="334">
        <f t="shared" si="9"/>
        <v>232</v>
      </c>
      <c r="D235" s="269" t="s">
        <v>1782</v>
      </c>
      <c r="E235" s="269" t="s">
        <v>2770</v>
      </c>
      <c r="F235" s="268"/>
      <c r="G235" s="341" t="s">
        <v>1858</v>
      </c>
      <c r="H235" s="341" t="s">
        <v>2115</v>
      </c>
      <c r="I235" s="341" t="s">
        <v>2641</v>
      </c>
    </row>
    <row r="236" spans="1:9" s="334" customFormat="1" ht="13.15">
      <c r="A236" s="334">
        <f t="shared" si="8"/>
        <v>233</v>
      </c>
      <c r="B236" s="337">
        <f t="shared" ref="B236:B299" si="10">VLOOKUP(A236,$C$4:$V$10001,1+$A$1)</f>
        <v>0</v>
      </c>
      <c r="C236" s="334">
        <f t="shared" si="9"/>
        <v>233</v>
      </c>
      <c r="D236" s="263"/>
      <c r="E236" s="263"/>
      <c r="F236" s="263"/>
      <c r="G236" s="338"/>
      <c r="H236" s="338"/>
      <c r="I236" s="338"/>
    </row>
    <row r="237" spans="1:9" s="334" customFormat="1" ht="13.15">
      <c r="A237" s="334">
        <f t="shared" si="8"/>
        <v>234</v>
      </c>
      <c r="B237" s="337">
        <f t="shared" si="10"/>
        <v>0</v>
      </c>
      <c r="C237" s="334">
        <f t="shared" si="9"/>
        <v>234</v>
      </c>
      <c r="D237" s="263"/>
      <c r="E237" s="263"/>
      <c r="F237" s="263"/>
      <c r="G237" s="263"/>
      <c r="H237" s="263"/>
      <c r="I237" s="263"/>
    </row>
    <row r="238" spans="1:9" s="334" customFormat="1" ht="13.15">
      <c r="A238" s="334">
        <f t="shared" si="8"/>
        <v>235</v>
      </c>
      <c r="B238" s="337">
        <f t="shared" si="10"/>
        <v>0</v>
      </c>
      <c r="C238" s="334">
        <f t="shared" si="9"/>
        <v>235</v>
      </c>
      <c r="D238" s="263"/>
      <c r="E238" s="263"/>
      <c r="F238" s="263"/>
      <c r="G238" s="263"/>
      <c r="H238" s="263"/>
      <c r="I238" s="263"/>
    </row>
    <row r="239" spans="1:9" s="334" customFormat="1" ht="13.15">
      <c r="A239" s="334">
        <f t="shared" si="8"/>
        <v>236</v>
      </c>
      <c r="B239" s="337">
        <f t="shared" si="10"/>
        <v>0</v>
      </c>
      <c r="C239" s="334">
        <f t="shared" si="9"/>
        <v>236</v>
      </c>
      <c r="D239" s="263"/>
      <c r="E239" s="263"/>
      <c r="F239" s="263"/>
      <c r="G239" s="263"/>
      <c r="H239" s="263"/>
      <c r="I239" s="263"/>
    </row>
    <row r="240" spans="1:9" s="334" customFormat="1" ht="13.15">
      <c r="A240" s="334">
        <f t="shared" si="8"/>
        <v>237</v>
      </c>
      <c r="B240" s="337">
        <f t="shared" si="10"/>
        <v>0</v>
      </c>
      <c r="C240" s="334">
        <f t="shared" si="9"/>
        <v>237</v>
      </c>
      <c r="D240" s="263"/>
      <c r="E240" s="263"/>
      <c r="F240" s="263"/>
      <c r="G240" s="263"/>
      <c r="H240" s="263"/>
      <c r="I240" s="263"/>
    </row>
    <row r="241" spans="1:9" s="334" customFormat="1" ht="13.15">
      <c r="A241" s="334">
        <f t="shared" si="8"/>
        <v>238</v>
      </c>
      <c r="B241" s="337">
        <f t="shared" si="10"/>
        <v>0</v>
      </c>
      <c r="C241" s="334">
        <f t="shared" si="9"/>
        <v>238</v>
      </c>
      <c r="D241" s="263"/>
      <c r="E241" s="263"/>
      <c r="F241" s="263"/>
      <c r="G241" s="263"/>
      <c r="H241" s="263"/>
      <c r="I241" s="263"/>
    </row>
    <row r="242" spans="1:9" s="334" customFormat="1" ht="13.15">
      <c r="A242" s="334">
        <f t="shared" si="8"/>
        <v>239</v>
      </c>
      <c r="B242" s="337">
        <f t="shared" si="10"/>
        <v>0</v>
      </c>
      <c r="C242" s="334">
        <f t="shared" si="9"/>
        <v>239</v>
      </c>
      <c r="D242" s="263"/>
      <c r="E242" s="263"/>
      <c r="F242" s="263"/>
      <c r="G242" s="263"/>
      <c r="H242" s="263"/>
      <c r="I242" s="263"/>
    </row>
    <row r="243" spans="1:9" s="334" customFormat="1" ht="13.15">
      <c r="A243" s="334">
        <f t="shared" si="8"/>
        <v>240</v>
      </c>
      <c r="B243" s="337">
        <f t="shared" si="10"/>
        <v>0</v>
      </c>
      <c r="C243" s="334">
        <f t="shared" si="9"/>
        <v>240</v>
      </c>
      <c r="D243" s="263"/>
      <c r="E243" s="263"/>
      <c r="F243" s="263"/>
      <c r="G243" s="263"/>
      <c r="H243" s="263"/>
      <c r="I243" s="263"/>
    </row>
    <row r="244" spans="1:9" s="334" customFormat="1" ht="13.15">
      <c r="A244" s="334">
        <f t="shared" si="8"/>
        <v>241</v>
      </c>
      <c r="B244" s="337">
        <f t="shared" si="10"/>
        <v>0</v>
      </c>
      <c r="C244" s="334">
        <f t="shared" si="9"/>
        <v>241</v>
      </c>
      <c r="D244" s="263"/>
      <c r="E244" s="263"/>
      <c r="F244" s="263"/>
      <c r="G244" s="263"/>
      <c r="H244" s="263"/>
      <c r="I244" s="263"/>
    </row>
    <row r="245" spans="1:9" s="334" customFormat="1" ht="13.15">
      <c r="A245" s="334">
        <f t="shared" si="8"/>
        <v>242</v>
      </c>
      <c r="B245" s="337">
        <f t="shared" si="10"/>
        <v>0</v>
      </c>
      <c r="C245" s="334">
        <f t="shared" si="9"/>
        <v>242</v>
      </c>
      <c r="D245" s="337"/>
      <c r="E245" s="337"/>
      <c r="F245" s="337"/>
      <c r="G245" s="337"/>
      <c r="H245" s="337"/>
      <c r="I245" s="337"/>
    </row>
    <row r="246" spans="1:9" s="334" customFormat="1" ht="13.15">
      <c r="A246" s="334">
        <f t="shared" si="8"/>
        <v>243</v>
      </c>
      <c r="B246" s="337">
        <f t="shared" si="10"/>
        <v>0</v>
      </c>
      <c r="C246" s="334">
        <f t="shared" si="9"/>
        <v>243</v>
      </c>
      <c r="D246" s="337"/>
      <c r="E246" s="337"/>
      <c r="F246" s="337"/>
      <c r="G246" s="337"/>
      <c r="H246" s="337"/>
      <c r="I246" s="337"/>
    </row>
    <row r="247" spans="1:9" s="334" customFormat="1" ht="13.15">
      <c r="A247" s="334">
        <f t="shared" si="8"/>
        <v>244</v>
      </c>
      <c r="B247" s="337">
        <f t="shared" si="10"/>
        <v>0</v>
      </c>
      <c r="C247" s="334">
        <f t="shared" si="9"/>
        <v>244</v>
      </c>
      <c r="D247" s="337"/>
      <c r="E247" s="337"/>
      <c r="F247" s="337"/>
      <c r="G247" s="337"/>
      <c r="H247" s="337"/>
      <c r="I247" s="337"/>
    </row>
    <row r="248" spans="1:9" s="334" customFormat="1" ht="13.15">
      <c r="A248" s="334">
        <f t="shared" si="8"/>
        <v>245</v>
      </c>
      <c r="B248" s="337">
        <f t="shared" si="10"/>
        <v>0</v>
      </c>
      <c r="C248" s="334">
        <f t="shared" si="9"/>
        <v>245</v>
      </c>
      <c r="D248" s="337"/>
      <c r="E248" s="337"/>
      <c r="F248" s="337"/>
      <c r="G248" s="337"/>
      <c r="H248" s="337"/>
      <c r="I248" s="337"/>
    </row>
    <row r="249" spans="1:9" s="334" customFormat="1" ht="13.15">
      <c r="A249" s="334">
        <f t="shared" si="8"/>
        <v>246</v>
      </c>
      <c r="B249" s="337">
        <f t="shared" si="10"/>
        <v>0</v>
      </c>
      <c r="C249" s="334">
        <f t="shared" si="9"/>
        <v>246</v>
      </c>
      <c r="D249" s="337"/>
      <c r="E249" s="337"/>
      <c r="F249" s="337"/>
      <c r="G249" s="337"/>
      <c r="H249" s="337"/>
      <c r="I249" s="337"/>
    </row>
    <row r="250" spans="1:9" s="334" customFormat="1" ht="13.15">
      <c r="A250" s="334">
        <f t="shared" si="8"/>
        <v>247</v>
      </c>
      <c r="B250" s="337">
        <f t="shared" si="10"/>
        <v>0</v>
      </c>
      <c r="C250" s="334">
        <f t="shared" si="9"/>
        <v>247</v>
      </c>
      <c r="D250" s="337"/>
      <c r="E250" s="337"/>
      <c r="F250" s="337"/>
      <c r="G250" s="337"/>
      <c r="H250" s="337"/>
      <c r="I250" s="337"/>
    </row>
    <row r="251" spans="1:9" s="334" customFormat="1" ht="13.15">
      <c r="A251" s="334">
        <f t="shared" si="8"/>
        <v>248</v>
      </c>
      <c r="B251" s="337">
        <f t="shared" si="10"/>
        <v>0</v>
      </c>
      <c r="C251" s="334">
        <f t="shared" si="9"/>
        <v>248</v>
      </c>
      <c r="D251" s="337"/>
      <c r="E251" s="337"/>
      <c r="F251" s="337"/>
      <c r="G251" s="337"/>
      <c r="H251" s="337"/>
      <c r="I251" s="337"/>
    </row>
    <row r="252" spans="1:9" s="334" customFormat="1" ht="13.15">
      <c r="A252" s="334">
        <f t="shared" si="8"/>
        <v>249</v>
      </c>
      <c r="B252" s="337">
        <f t="shared" si="10"/>
        <v>0</v>
      </c>
      <c r="C252" s="334">
        <f t="shared" si="9"/>
        <v>249</v>
      </c>
      <c r="D252" s="337"/>
      <c r="E252" s="337"/>
      <c r="F252" s="337"/>
      <c r="G252" s="337"/>
      <c r="H252" s="337"/>
      <c r="I252" s="337"/>
    </row>
    <row r="253" spans="1:9" s="334" customFormat="1" ht="13.15">
      <c r="A253" s="334">
        <f t="shared" si="8"/>
        <v>250</v>
      </c>
      <c r="B253" s="337">
        <f t="shared" si="10"/>
        <v>0</v>
      </c>
      <c r="C253" s="334">
        <f t="shared" si="9"/>
        <v>250</v>
      </c>
      <c r="D253" s="337"/>
      <c r="E253" s="337"/>
      <c r="F253" s="337"/>
      <c r="G253" s="337"/>
      <c r="H253" s="337"/>
      <c r="I253" s="337"/>
    </row>
    <row r="254" spans="1:9" s="334" customFormat="1" ht="13.15">
      <c r="A254" s="334">
        <f t="shared" si="8"/>
        <v>251</v>
      </c>
      <c r="B254" s="337">
        <f t="shared" si="10"/>
        <v>0</v>
      </c>
      <c r="C254" s="334">
        <f t="shared" si="9"/>
        <v>251</v>
      </c>
      <c r="D254" s="337"/>
      <c r="E254" s="337"/>
      <c r="F254" s="337"/>
      <c r="G254" s="337"/>
      <c r="H254" s="337"/>
      <c r="I254" s="337"/>
    </row>
    <row r="255" spans="1:9" s="334" customFormat="1" ht="13.15">
      <c r="A255" s="334">
        <f t="shared" si="8"/>
        <v>252</v>
      </c>
      <c r="B255" s="337">
        <f t="shared" si="10"/>
        <v>0</v>
      </c>
      <c r="C255" s="334">
        <f t="shared" si="9"/>
        <v>252</v>
      </c>
      <c r="D255" s="337"/>
      <c r="E255" s="337"/>
      <c r="F255" s="337"/>
      <c r="G255" s="337"/>
      <c r="H255" s="337"/>
      <c r="I255" s="337"/>
    </row>
    <row r="256" spans="1:9" s="334" customFormat="1" ht="13.15">
      <c r="A256" s="334">
        <f t="shared" si="8"/>
        <v>253</v>
      </c>
      <c r="B256" s="337">
        <f t="shared" si="10"/>
        <v>0</v>
      </c>
      <c r="C256" s="334">
        <f t="shared" si="9"/>
        <v>253</v>
      </c>
      <c r="D256" s="337"/>
      <c r="E256" s="337"/>
      <c r="F256" s="337"/>
      <c r="G256" s="337"/>
      <c r="H256" s="337"/>
      <c r="I256" s="337"/>
    </row>
    <row r="257" spans="1:9" s="334" customFormat="1" ht="13.15">
      <c r="A257" s="334">
        <f t="shared" si="8"/>
        <v>254</v>
      </c>
      <c r="B257" s="337">
        <f t="shared" si="10"/>
        <v>0</v>
      </c>
      <c r="C257" s="334">
        <f t="shared" si="9"/>
        <v>254</v>
      </c>
      <c r="D257" s="337"/>
      <c r="E257" s="337"/>
      <c r="F257" s="337"/>
      <c r="G257" s="337"/>
      <c r="H257" s="337"/>
      <c r="I257" s="337"/>
    </row>
    <row r="258" spans="1:9" s="334" customFormat="1" ht="13.15">
      <c r="A258" s="334">
        <f t="shared" si="8"/>
        <v>255</v>
      </c>
      <c r="B258" s="337">
        <f t="shared" si="10"/>
        <v>0</v>
      </c>
      <c r="C258" s="334">
        <f t="shared" si="9"/>
        <v>255</v>
      </c>
      <c r="D258" s="337"/>
      <c r="E258" s="337"/>
      <c r="F258" s="337"/>
      <c r="G258" s="337"/>
      <c r="H258" s="337"/>
      <c r="I258" s="337"/>
    </row>
    <row r="259" spans="1:9" s="334" customFormat="1" ht="13.15">
      <c r="A259" s="334">
        <f t="shared" si="8"/>
        <v>256</v>
      </c>
      <c r="B259" s="337">
        <f t="shared" si="10"/>
        <v>0</v>
      </c>
      <c r="C259" s="334">
        <f t="shared" si="9"/>
        <v>256</v>
      </c>
      <c r="D259" s="337"/>
      <c r="E259" s="337"/>
      <c r="F259" s="337"/>
      <c r="G259" s="337"/>
      <c r="H259" s="337"/>
      <c r="I259" s="337"/>
    </row>
    <row r="260" spans="1:9" s="334" customFormat="1" ht="13.15">
      <c r="A260" s="334">
        <f t="shared" ref="A260:A323" si="11">C260</f>
        <v>257</v>
      </c>
      <c r="B260" s="337">
        <f t="shared" si="10"/>
        <v>0</v>
      </c>
      <c r="C260" s="334">
        <f t="shared" si="9"/>
        <v>257</v>
      </c>
      <c r="D260" s="337"/>
      <c r="E260" s="337"/>
      <c r="F260" s="337"/>
      <c r="G260" s="337"/>
      <c r="H260" s="337"/>
      <c r="I260" s="337"/>
    </row>
    <row r="261" spans="1:9" s="334" customFormat="1" ht="13.15">
      <c r="A261" s="334">
        <f t="shared" si="11"/>
        <v>258</v>
      </c>
      <c r="B261" s="337">
        <f t="shared" si="10"/>
        <v>0</v>
      </c>
      <c r="C261" s="334">
        <f t="shared" si="9"/>
        <v>258</v>
      </c>
      <c r="D261" s="337"/>
      <c r="E261" s="337"/>
      <c r="F261" s="337"/>
      <c r="G261" s="337"/>
      <c r="H261" s="337"/>
      <c r="I261" s="337"/>
    </row>
    <row r="262" spans="1:9" s="334" customFormat="1" ht="13.15">
      <c r="A262" s="334">
        <f t="shared" si="11"/>
        <v>259</v>
      </c>
      <c r="B262" s="337">
        <f t="shared" si="10"/>
        <v>0</v>
      </c>
      <c r="C262" s="334">
        <f t="shared" ref="C262:C325" si="12">+C261+1</f>
        <v>259</v>
      </c>
      <c r="D262" s="337"/>
      <c r="E262" s="337"/>
      <c r="F262" s="337"/>
      <c r="G262" s="337"/>
      <c r="H262" s="337"/>
      <c r="I262" s="337"/>
    </row>
    <row r="263" spans="1:9" s="334" customFormat="1" ht="13.15">
      <c r="A263" s="334">
        <f t="shared" si="11"/>
        <v>260</v>
      </c>
      <c r="B263" s="337">
        <f t="shared" si="10"/>
        <v>0</v>
      </c>
      <c r="C263" s="334">
        <f t="shared" si="12"/>
        <v>260</v>
      </c>
      <c r="D263" s="337"/>
      <c r="E263" s="337"/>
      <c r="F263" s="337"/>
      <c r="G263" s="337"/>
      <c r="H263" s="337"/>
      <c r="I263" s="337"/>
    </row>
    <row r="264" spans="1:9" s="334" customFormat="1" ht="13.15">
      <c r="A264" s="334">
        <f t="shared" si="11"/>
        <v>261</v>
      </c>
      <c r="B264" s="337">
        <f t="shared" si="10"/>
        <v>0</v>
      </c>
      <c r="C264" s="334">
        <f t="shared" si="12"/>
        <v>261</v>
      </c>
      <c r="D264" s="337"/>
      <c r="E264" s="337"/>
      <c r="F264" s="337"/>
      <c r="G264" s="337"/>
      <c r="H264" s="337"/>
      <c r="I264" s="337"/>
    </row>
    <row r="265" spans="1:9" s="334" customFormat="1" ht="13.15">
      <c r="A265" s="334">
        <f t="shared" si="11"/>
        <v>262</v>
      </c>
      <c r="B265" s="337">
        <f t="shared" si="10"/>
        <v>0</v>
      </c>
      <c r="C265" s="334">
        <f t="shared" si="12"/>
        <v>262</v>
      </c>
      <c r="D265" s="337"/>
      <c r="E265" s="337"/>
      <c r="F265" s="337"/>
      <c r="G265" s="337"/>
      <c r="H265" s="337"/>
      <c r="I265" s="337"/>
    </row>
    <row r="266" spans="1:9" s="334" customFormat="1" ht="13.15">
      <c r="A266" s="334">
        <f t="shared" si="11"/>
        <v>263</v>
      </c>
      <c r="B266" s="337">
        <f t="shared" si="10"/>
        <v>0</v>
      </c>
      <c r="C266" s="334">
        <f t="shared" si="12"/>
        <v>263</v>
      </c>
      <c r="D266" s="337"/>
      <c r="E266" s="337"/>
      <c r="F266" s="337"/>
      <c r="G266" s="337"/>
      <c r="H266" s="337"/>
      <c r="I266" s="337"/>
    </row>
    <row r="267" spans="1:9" s="334" customFormat="1" ht="13.15">
      <c r="A267" s="334">
        <f t="shared" si="11"/>
        <v>264</v>
      </c>
      <c r="B267" s="337">
        <f t="shared" si="10"/>
        <v>0</v>
      </c>
      <c r="C267" s="334">
        <f t="shared" si="12"/>
        <v>264</v>
      </c>
      <c r="D267" s="337"/>
      <c r="E267" s="337"/>
      <c r="F267" s="337"/>
      <c r="G267" s="337"/>
      <c r="H267" s="337"/>
      <c r="I267" s="337"/>
    </row>
    <row r="268" spans="1:9" s="334" customFormat="1" ht="13.15">
      <c r="A268" s="334">
        <f t="shared" si="11"/>
        <v>265</v>
      </c>
      <c r="B268" s="337">
        <f t="shared" si="10"/>
        <v>0</v>
      </c>
      <c r="C268" s="334">
        <f t="shared" si="12"/>
        <v>265</v>
      </c>
      <c r="D268" s="343"/>
      <c r="E268" s="343"/>
      <c r="F268" s="343"/>
      <c r="G268" s="343"/>
      <c r="H268" s="343"/>
      <c r="I268" s="343"/>
    </row>
    <row r="269" spans="1:9" s="334" customFormat="1" ht="13.15">
      <c r="A269" s="334">
        <f t="shared" si="11"/>
        <v>266</v>
      </c>
      <c r="B269" s="337">
        <f t="shared" si="10"/>
        <v>0</v>
      </c>
      <c r="C269" s="334">
        <f t="shared" si="12"/>
        <v>266</v>
      </c>
      <c r="D269" s="343"/>
      <c r="E269" s="343"/>
      <c r="F269" s="343"/>
      <c r="G269" s="343"/>
      <c r="H269" s="343"/>
      <c r="I269" s="343"/>
    </row>
    <row r="270" spans="1:9" s="334" customFormat="1" ht="13.15">
      <c r="A270" s="334">
        <f t="shared" si="11"/>
        <v>267</v>
      </c>
      <c r="B270" s="337">
        <f t="shared" si="10"/>
        <v>0</v>
      </c>
      <c r="C270" s="334">
        <f t="shared" si="12"/>
        <v>267</v>
      </c>
      <c r="D270" s="343"/>
      <c r="E270" s="343"/>
      <c r="F270" s="343"/>
      <c r="G270" s="343"/>
      <c r="H270" s="343"/>
      <c r="I270" s="343"/>
    </row>
    <row r="271" spans="1:9" s="334" customFormat="1" ht="13.15">
      <c r="A271" s="334">
        <f t="shared" si="11"/>
        <v>268</v>
      </c>
      <c r="B271" s="337">
        <f t="shared" si="10"/>
        <v>0</v>
      </c>
      <c r="C271" s="334">
        <f t="shared" si="12"/>
        <v>268</v>
      </c>
      <c r="D271" s="343"/>
      <c r="E271" s="343"/>
      <c r="F271" s="343"/>
      <c r="G271" s="343"/>
      <c r="H271" s="343"/>
      <c r="I271" s="343"/>
    </row>
    <row r="272" spans="1:9" s="334" customFormat="1" ht="13.15">
      <c r="A272" s="334">
        <f t="shared" si="11"/>
        <v>269</v>
      </c>
      <c r="B272" s="337">
        <f t="shared" si="10"/>
        <v>0</v>
      </c>
      <c r="C272" s="334">
        <f t="shared" si="12"/>
        <v>269</v>
      </c>
      <c r="D272" s="343"/>
      <c r="E272" s="343"/>
      <c r="F272" s="343"/>
      <c r="G272" s="343"/>
      <c r="H272" s="343"/>
      <c r="I272" s="343"/>
    </row>
    <row r="273" spans="1:9" s="334" customFormat="1" ht="13.15">
      <c r="A273" s="334">
        <f t="shared" si="11"/>
        <v>270</v>
      </c>
      <c r="B273" s="337">
        <f t="shared" si="10"/>
        <v>0</v>
      </c>
      <c r="C273" s="334">
        <f t="shared" si="12"/>
        <v>270</v>
      </c>
      <c r="D273" s="343"/>
      <c r="E273" s="343"/>
      <c r="F273" s="343"/>
      <c r="G273" s="343"/>
      <c r="H273" s="343"/>
      <c r="I273" s="343"/>
    </row>
    <row r="274" spans="1:9" s="334" customFormat="1" ht="13.15">
      <c r="A274" s="334">
        <f t="shared" si="11"/>
        <v>271</v>
      </c>
      <c r="B274" s="337">
        <f t="shared" si="10"/>
        <v>0</v>
      </c>
      <c r="C274" s="334">
        <f t="shared" si="12"/>
        <v>271</v>
      </c>
      <c r="D274" s="343"/>
      <c r="E274" s="343"/>
      <c r="F274" s="343"/>
      <c r="G274" s="343"/>
      <c r="H274" s="343"/>
      <c r="I274" s="343"/>
    </row>
    <row r="275" spans="1:9" s="334" customFormat="1" ht="13.15">
      <c r="A275" s="334">
        <f t="shared" si="11"/>
        <v>272</v>
      </c>
      <c r="B275" s="337">
        <f t="shared" si="10"/>
        <v>0</v>
      </c>
      <c r="C275" s="334">
        <f t="shared" si="12"/>
        <v>272</v>
      </c>
      <c r="D275" s="343"/>
      <c r="E275" s="343"/>
      <c r="F275" s="343"/>
      <c r="G275" s="343"/>
      <c r="H275" s="343"/>
      <c r="I275" s="343"/>
    </row>
    <row r="276" spans="1:9" s="334" customFormat="1" ht="13.15">
      <c r="A276" s="334">
        <f t="shared" si="11"/>
        <v>273</v>
      </c>
      <c r="B276" s="337">
        <f t="shared" si="10"/>
        <v>0</v>
      </c>
      <c r="C276" s="334">
        <f t="shared" si="12"/>
        <v>273</v>
      </c>
      <c r="D276" s="343"/>
      <c r="E276" s="343"/>
      <c r="F276" s="343"/>
      <c r="G276" s="343"/>
      <c r="H276" s="343"/>
      <c r="I276" s="343"/>
    </row>
    <row r="277" spans="1:9" s="334" customFormat="1" ht="13.15">
      <c r="A277" s="334">
        <f t="shared" si="11"/>
        <v>274</v>
      </c>
      <c r="B277" s="337">
        <f t="shared" si="10"/>
        <v>0</v>
      </c>
      <c r="C277" s="334">
        <f t="shared" si="12"/>
        <v>274</v>
      </c>
      <c r="D277" s="343"/>
      <c r="E277" s="343"/>
      <c r="F277" s="343"/>
      <c r="G277" s="343"/>
      <c r="H277" s="343"/>
      <c r="I277" s="343"/>
    </row>
    <row r="278" spans="1:9" s="334" customFormat="1" ht="13.15">
      <c r="A278" s="334">
        <f t="shared" si="11"/>
        <v>275</v>
      </c>
      <c r="B278" s="337">
        <f t="shared" si="10"/>
        <v>0</v>
      </c>
      <c r="C278" s="334">
        <f t="shared" si="12"/>
        <v>275</v>
      </c>
      <c r="D278" s="343"/>
      <c r="E278" s="343"/>
      <c r="F278" s="343"/>
      <c r="G278" s="343"/>
      <c r="H278" s="343"/>
      <c r="I278" s="343"/>
    </row>
    <row r="279" spans="1:9" s="334" customFormat="1" ht="13.15">
      <c r="A279" s="334">
        <f t="shared" si="11"/>
        <v>276</v>
      </c>
      <c r="B279" s="337">
        <f t="shared" si="10"/>
        <v>0</v>
      </c>
      <c r="C279" s="334">
        <f t="shared" si="12"/>
        <v>276</v>
      </c>
      <c r="D279" s="343"/>
      <c r="E279" s="343"/>
      <c r="F279" s="343"/>
      <c r="G279" s="343"/>
      <c r="H279" s="343"/>
      <c r="I279" s="343"/>
    </row>
    <row r="280" spans="1:9" s="334" customFormat="1" ht="13.15">
      <c r="A280" s="334">
        <f t="shared" si="11"/>
        <v>277</v>
      </c>
      <c r="B280" s="337">
        <f t="shared" si="10"/>
        <v>0</v>
      </c>
      <c r="C280" s="334">
        <f t="shared" si="12"/>
        <v>277</v>
      </c>
      <c r="D280" s="343"/>
      <c r="E280" s="343"/>
      <c r="F280" s="343"/>
      <c r="G280" s="343"/>
      <c r="H280" s="343"/>
      <c r="I280" s="343"/>
    </row>
    <row r="281" spans="1:9" s="334" customFormat="1" ht="13.15">
      <c r="A281" s="334">
        <f t="shared" si="11"/>
        <v>278</v>
      </c>
      <c r="B281" s="337">
        <f t="shared" si="10"/>
        <v>0</v>
      </c>
      <c r="C281" s="334">
        <f t="shared" si="12"/>
        <v>278</v>
      </c>
      <c r="D281" s="343"/>
      <c r="E281" s="343"/>
      <c r="F281" s="343"/>
      <c r="G281" s="343"/>
      <c r="H281" s="343"/>
      <c r="I281" s="343"/>
    </row>
    <row r="282" spans="1:9" s="334" customFormat="1" ht="13.15">
      <c r="A282" s="334">
        <f t="shared" si="11"/>
        <v>279</v>
      </c>
      <c r="B282" s="337">
        <f t="shared" si="10"/>
        <v>0</v>
      </c>
      <c r="C282" s="334">
        <f t="shared" si="12"/>
        <v>279</v>
      </c>
      <c r="D282" s="343"/>
      <c r="E282" s="343"/>
      <c r="F282" s="343"/>
      <c r="G282" s="343"/>
      <c r="H282" s="343"/>
      <c r="I282" s="343"/>
    </row>
    <row r="283" spans="1:9" s="334" customFormat="1" ht="13.15">
      <c r="A283" s="334">
        <f t="shared" si="11"/>
        <v>280</v>
      </c>
      <c r="B283" s="337">
        <f t="shared" si="10"/>
        <v>0</v>
      </c>
      <c r="C283" s="334">
        <f t="shared" si="12"/>
        <v>280</v>
      </c>
      <c r="D283" s="343"/>
      <c r="E283" s="343"/>
      <c r="F283" s="343"/>
      <c r="G283" s="343"/>
      <c r="H283" s="343"/>
      <c r="I283" s="343"/>
    </row>
    <row r="284" spans="1:9" s="334" customFormat="1" ht="13.15">
      <c r="A284" s="334">
        <f t="shared" si="11"/>
        <v>281</v>
      </c>
      <c r="B284" s="344">
        <f t="shared" si="10"/>
        <v>0</v>
      </c>
      <c r="C284" s="334">
        <f t="shared" si="12"/>
        <v>281</v>
      </c>
      <c r="D284" s="343"/>
      <c r="E284" s="343"/>
      <c r="F284" s="343"/>
      <c r="G284" s="343"/>
      <c r="H284" s="343"/>
      <c r="I284" s="343"/>
    </row>
    <row r="285" spans="1:9" s="334" customFormat="1" ht="13.15">
      <c r="A285" s="334">
        <f t="shared" si="11"/>
        <v>282</v>
      </c>
      <c r="B285" s="345">
        <f t="shared" si="10"/>
        <v>0</v>
      </c>
      <c r="C285" s="334">
        <f t="shared" si="12"/>
        <v>282</v>
      </c>
      <c r="D285" s="346"/>
      <c r="E285" s="346"/>
      <c r="F285" s="346"/>
      <c r="G285" s="346"/>
      <c r="H285" s="346"/>
      <c r="I285" s="346"/>
    </row>
    <row r="286" spans="1:9" s="334" customFormat="1" ht="13.15">
      <c r="A286" s="334">
        <f t="shared" si="11"/>
        <v>283</v>
      </c>
      <c r="B286" s="345">
        <f t="shared" si="10"/>
        <v>0</v>
      </c>
      <c r="C286" s="334">
        <f t="shared" si="12"/>
        <v>283</v>
      </c>
    </row>
    <row r="287" spans="1:9" s="334" customFormat="1" ht="13.15">
      <c r="A287" s="334">
        <f t="shared" si="11"/>
        <v>284</v>
      </c>
      <c r="B287" s="345">
        <f t="shared" si="10"/>
        <v>0</v>
      </c>
      <c r="C287" s="334">
        <f t="shared" si="12"/>
        <v>284</v>
      </c>
    </row>
    <row r="288" spans="1:9" s="334" customFormat="1" ht="13.15">
      <c r="A288" s="334">
        <f t="shared" si="11"/>
        <v>285</v>
      </c>
      <c r="B288" s="345">
        <f t="shared" si="10"/>
        <v>0</v>
      </c>
      <c r="C288" s="334">
        <f t="shared" si="12"/>
        <v>285</v>
      </c>
    </row>
    <row r="289" spans="1:3" s="334" customFormat="1" ht="13.15">
      <c r="A289" s="334">
        <f t="shared" si="11"/>
        <v>286</v>
      </c>
      <c r="B289" s="345">
        <f t="shared" si="10"/>
        <v>0</v>
      </c>
      <c r="C289" s="334">
        <f t="shared" si="12"/>
        <v>286</v>
      </c>
    </row>
    <row r="290" spans="1:3" s="334" customFormat="1" ht="13.15">
      <c r="A290" s="334">
        <f t="shared" si="11"/>
        <v>287</v>
      </c>
      <c r="B290" s="345">
        <f t="shared" si="10"/>
        <v>0</v>
      </c>
      <c r="C290" s="334">
        <f t="shared" si="12"/>
        <v>287</v>
      </c>
    </row>
    <row r="291" spans="1:3" s="334" customFormat="1" ht="13.15">
      <c r="A291" s="334">
        <f t="shared" si="11"/>
        <v>288</v>
      </c>
      <c r="B291" s="345">
        <f t="shared" si="10"/>
        <v>0</v>
      </c>
      <c r="C291" s="334">
        <f t="shared" si="12"/>
        <v>288</v>
      </c>
    </row>
    <row r="292" spans="1:3" s="334" customFormat="1" ht="13.15">
      <c r="A292" s="334">
        <f t="shared" si="11"/>
        <v>289</v>
      </c>
      <c r="B292" s="345">
        <f t="shared" si="10"/>
        <v>0</v>
      </c>
      <c r="C292" s="334">
        <f t="shared" si="12"/>
        <v>289</v>
      </c>
    </row>
    <row r="293" spans="1:3" s="334" customFormat="1" ht="13.15">
      <c r="A293" s="334">
        <f t="shared" si="11"/>
        <v>290</v>
      </c>
      <c r="B293" s="345">
        <f t="shared" si="10"/>
        <v>0</v>
      </c>
      <c r="C293" s="334">
        <f t="shared" si="12"/>
        <v>290</v>
      </c>
    </row>
    <row r="294" spans="1:3" s="334" customFormat="1" ht="13.15">
      <c r="A294" s="334">
        <f t="shared" si="11"/>
        <v>291</v>
      </c>
      <c r="B294" s="345">
        <f t="shared" si="10"/>
        <v>0</v>
      </c>
      <c r="C294" s="334">
        <f t="shared" si="12"/>
        <v>291</v>
      </c>
    </row>
    <row r="295" spans="1:3" s="334" customFormat="1" ht="13.15">
      <c r="A295" s="334">
        <f t="shared" si="11"/>
        <v>292</v>
      </c>
      <c r="B295" s="345">
        <f t="shared" si="10"/>
        <v>0</v>
      </c>
      <c r="C295" s="334">
        <f t="shared" si="12"/>
        <v>292</v>
      </c>
    </row>
    <row r="296" spans="1:3" s="334" customFormat="1" ht="13.15">
      <c r="A296" s="334">
        <f t="shared" si="11"/>
        <v>293</v>
      </c>
      <c r="B296" s="345">
        <f t="shared" si="10"/>
        <v>0</v>
      </c>
      <c r="C296" s="334">
        <f t="shared" si="12"/>
        <v>293</v>
      </c>
    </row>
    <row r="297" spans="1:3" s="334" customFormat="1" ht="13.15">
      <c r="A297" s="334">
        <f t="shared" si="11"/>
        <v>294</v>
      </c>
      <c r="B297" s="345">
        <f t="shared" si="10"/>
        <v>0</v>
      </c>
      <c r="C297" s="334">
        <f t="shared" si="12"/>
        <v>294</v>
      </c>
    </row>
    <row r="298" spans="1:3" s="334" customFormat="1" ht="13.15">
      <c r="A298" s="334">
        <f t="shared" si="11"/>
        <v>295</v>
      </c>
      <c r="B298" s="345">
        <f t="shared" si="10"/>
        <v>0</v>
      </c>
      <c r="C298" s="334">
        <f t="shared" si="12"/>
        <v>295</v>
      </c>
    </row>
    <row r="299" spans="1:3" s="334" customFormat="1" ht="13.15">
      <c r="A299" s="334">
        <f t="shared" si="11"/>
        <v>296</v>
      </c>
      <c r="B299" s="345">
        <f t="shared" si="10"/>
        <v>0</v>
      </c>
      <c r="C299" s="334">
        <f t="shared" si="12"/>
        <v>296</v>
      </c>
    </row>
    <row r="300" spans="1:3" s="334" customFormat="1" ht="13.15">
      <c r="A300" s="334">
        <f t="shared" si="11"/>
        <v>297</v>
      </c>
      <c r="B300" s="345">
        <f t="shared" ref="B300:B363" si="13">VLOOKUP(A300,$C$4:$V$10001,1+$A$1)</f>
        <v>0</v>
      </c>
      <c r="C300" s="334">
        <f t="shared" si="12"/>
        <v>297</v>
      </c>
    </row>
    <row r="301" spans="1:3" s="334" customFormat="1" ht="13.15">
      <c r="A301" s="334">
        <f t="shared" si="11"/>
        <v>298</v>
      </c>
      <c r="B301" s="345">
        <f t="shared" si="13"/>
        <v>0</v>
      </c>
      <c r="C301" s="334">
        <f t="shared" si="12"/>
        <v>298</v>
      </c>
    </row>
    <row r="302" spans="1:3" s="334" customFormat="1" ht="13.15">
      <c r="A302" s="334">
        <f t="shared" si="11"/>
        <v>299</v>
      </c>
      <c r="B302" s="345">
        <f t="shared" si="13"/>
        <v>0</v>
      </c>
      <c r="C302" s="334">
        <f t="shared" si="12"/>
        <v>299</v>
      </c>
    </row>
    <row r="303" spans="1:3" s="334" customFormat="1" ht="13.15">
      <c r="A303" s="334">
        <f t="shared" si="11"/>
        <v>300</v>
      </c>
      <c r="B303" s="345">
        <f t="shared" si="13"/>
        <v>0</v>
      </c>
      <c r="C303" s="334">
        <f t="shared" si="12"/>
        <v>300</v>
      </c>
    </row>
    <row r="304" spans="1:3" s="334" customFormat="1" ht="13.15">
      <c r="A304" s="334">
        <f t="shared" si="11"/>
        <v>301</v>
      </c>
      <c r="B304" s="345">
        <f t="shared" si="13"/>
        <v>0</v>
      </c>
      <c r="C304" s="334">
        <f t="shared" si="12"/>
        <v>301</v>
      </c>
    </row>
    <row r="305" spans="1:3" s="334" customFormat="1" ht="13.15">
      <c r="A305" s="334">
        <f t="shared" si="11"/>
        <v>302</v>
      </c>
      <c r="B305" s="345">
        <f t="shared" si="13"/>
        <v>0</v>
      </c>
      <c r="C305" s="334">
        <f t="shared" si="12"/>
        <v>302</v>
      </c>
    </row>
    <row r="306" spans="1:3" s="334" customFormat="1" ht="13.15">
      <c r="A306" s="334">
        <f t="shared" si="11"/>
        <v>303</v>
      </c>
      <c r="B306" s="345">
        <f t="shared" si="13"/>
        <v>0</v>
      </c>
      <c r="C306" s="334">
        <f t="shared" si="12"/>
        <v>303</v>
      </c>
    </row>
    <row r="307" spans="1:3" s="334" customFormat="1" ht="13.15">
      <c r="A307" s="334">
        <f t="shared" si="11"/>
        <v>304</v>
      </c>
      <c r="B307" s="345">
        <f t="shared" si="13"/>
        <v>0</v>
      </c>
      <c r="C307" s="334">
        <f t="shared" si="12"/>
        <v>304</v>
      </c>
    </row>
    <row r="308" spans="1:3" s="334" customFormat="1" ht="13.15">
      <c r="A308" s="334">
        <f t="shared" si="11"/>
        <v>305</v>
      </c>
      <c r="B308" s="345">
        <f t="shared" si="13"/>
        <v>0</v>
      </c>
      <c r="C308" s="334">
        <f t="shared" si="12"/>
        <v>305</v>
      </c>
    </row>
    <row r="309" spans="1:3" s="334" customFormat="1" ht="13.15">
      <c r="A309" s="334">
        <f t="shared" si="11"/>
        <v>306</v>
      </c>
      <c r="B309" s="345">
        <f t="shared" si="13"/>
        <v>0</v>
      </c>
      <c r="C309" s="334">
        <f t="shared" si="12"/>
        <v>306</v>
      </c>
    </row>
    <row r="310" spans="1:3" s="334" customFormat="1" ht="13.15">
      <c r="A310" s="334">
        <f t="shared" si="11"/>
        <v>307</v>
      </c>
      <c r="B310" s="345">
        <f t="shared" si="13"/>
        <v>0</v>
      </c>
      <c r="C310" s="334">
        <f t="shared" si="12"/>
        <v>307</v>
      </c>
    </row>
    <row r="311" spans="1:3" s="334" customFormat="1" ht="13.15">
      <c r="A311" s="334">
        <f t="shared" si="11"/>
        <v>308</v>
      </c>
      <c r="B311" s="345">
        <f t="shared" si="13"/>
        <v>0</v>
      </c>
      <c r="C311" s="334">
        <f t="shared" si="12"/>
        <v>308</v>
      </c>
    </row>
    <row r="312" spans="1:3" s="334" customFormat="1" ht="13.15">
      <c r="A312" s="334">
        <f t="shared" si="11"/>
        <v>309</v>
      </c>
      <c r="B312" s="345">
        <f t="shared" si="13"/>
        <v>0</v>
      </c>
      <c r="C312" s="334">
        <f t="shared" si="12"/>
        <v>309</v>
      </c>
    </row>
    <row r="313" spans="1:3" s="334" customFormat="1" ht="13.15">
      <c r="A313" s="334">
        <f t="shared" si="11"/>
        <v>310</v>
      </c>
      <c r="B313" s="345">
        <f t="shared" si="13"/>
        <v>0</v>
      </c>
      <c r="C313" s="334">
        <f t="shared" si="12"/>
        <v>310</v>
      </c>
    </row>
    <row r="314" spans="1:3" s="334" customFormat="1" ht="13.15">
      <c r="A314" s="334">
        <f t="shared" si="11"/>
        <v>311</v>
      </c>
      <c r="B314" s="345">
        <f t="shared" si="13"/>
        <v>0</v>
      </c>
      <c r="C314" s="334">
        <f t="shared" si="12"/>
        <v>311</v>
      </c>
    </row>
    <row r="315" spans="1:3" s="334" customFormat="1" ht="13.15">
      <c r="A315" s="334">
        <f t="shared" si="11"/>
        <v>312</v>
      </c>
      <c r="B315" s="345">
        <f t="shared" si="13"/>
        <v>0</v>
      </c>
      <c r="C315" s="334">
        <f t="shared" si="12"/>
        <v>312</v>
      </c>
    </row>
    <row r="316" spans="1:3" s="334" customFormat="1" ht="13.15">
      <c r="A316" s="334">
        <f t="shared" si="11"/>
        <v>313</v>
      </c>
      <c r="B316" s="345">
        <f t="shared" si="13"/>
        <v>0</v>
      </c>
      <c r="C316" s="334">
        <f t="shared" si="12"/>
        <v>313</v>
      </c>
    </row>
    <row r="317" spans="1:3" s="334" customFormat="1" ht="13.15">
      <c r="A317" s="334">
        <f t="shared" si="11"/>
        <v>314</v>
      </c>
      <c r="B317" s="345">
        <f t="shared" si="13"/>
        <v>0</v>
      </c>
      <c r="C317" s="334">
        <f t="shared" si="12"/>
        <v>314</v>
      </c>
    </row>
    <row r="318" spans="1:3" s="334" customFormat="1" ht="13.15">
      <c r="A318" s="334">
        <f t="shared" si="11"/>
        <v>315</v>
      </c>
      <c r="B318" s="345">
        <f t="shared" si="13"/>
        <v>0</v>
      </c>
      <c r="C318" s="334">
        <f t="shared" si="12"/>
        <v>315</v>
      </c>
    </row>
    <row r="319" spans="1:3" s="334" customFormat="1" ht="13.15">
      <c r="A319" s="334">
        <f t="shared" si="11"/>
        <v>316</v>
      </c>
      <c r="B319" s="345">
        <f t="shared" si="13"/>
        <v>0</v>
      </c>
      <c r="C319" s="334">
        <f t="shared" si="12"/>
        <v>316</v>
      </c>
    </row>
    <row r="320" spans="1:3" s="334" customFormat="1" ht="13.15">
      <c r="A320" s="334">
        <f t="shared" si="11"/>
        <v>317</v>
      </c>
      <c r="B320" s="345">
        <f t="shared" si="13"/>
        <v>0</v>
      </c>
      <c r="C320" s="334">
        <f t="shared" si="12"/>
        <v>317</v>
      </c>
    </row>
    <row r="321" spans="1:3" s="334" customFormat="1" ht="13.15">
      <c r="A321" s="334">
        <f t="shared" si="11"/>
        <v>318</v>
      </c>
      <c r="B321" s="345">
        <f t="shared" si="13"/>
        <v>0</v>
      </c>
      <c r="C321" s="334">
        <f t="shared" si="12"/>
        <v>318</v>
      </c>
    </row>
    <row r="322" spans="1:3" s="334" customFormat="1" ht="13.15">
      <c r="A322" s="334">
        <f t="shared" si="11"/>
        <v>319</v>
      </c>
      <c r="B322" s="345">
        <f t="shared" si="13"/>
        <v>0</v>
      </c>
      <c r="C322" s="334">
        <f t="shared" si="12"/>
        <v>319</v>
      </c>
    </row>
    <row r="323" spans="1:3" s="334" customFormat="1" ht="13.15">
      <c r="A323" s="334">
        <f t="shared" si="11"/>
        <v>320</v>
      </c>
      <c r="B323" s="345">
        <f t="shared" si="13"/>
        <v>0</v>
      </c>
      <c r="C323" s="334">
        <f t="shared" si="12"/>
        <v>320</v>
      </c>
    </row>
    <row r="324" spans="1:3" s="334" customFormat="1" ht="13.15">
      <c r="A324" s="334">
        <f t="shared" ref="A324:A387" si="14">C324</f>
        <v>321</v>
      </c>
      <c r="B324" s="345">
        <f t="shared" si="13"/>
        <v>0</v>
      </c>
      <c r="C324" s="334">
        <f t="shared" si="12"/>
        <v>321</v>
      </c>
    </row>
    <row r="325" spans="1:3" s="334" customFormat="1" ht="13.15">
      <c r="A325" s="334">
        <f t="shared" si="14"/>
        <v>322</v>
      </c>
      <c r="B325" s="345">
        <f t="shared" si="13"/>
        <v>0</v>
      </c>
      <c r="C325" s="334">
        <f t="shared" si="12"/>
        <v>322</v>
      </c>
    </row>
    <row r="326" spans="1:3" s="334" customFormat="1" ht="13.15">
      <c r="A326" s="334">
        <f t="shared" si="14"/>
        <v>323</v>
      </c>
      <c r="B326" s="345">
        <f t="shared" si="13"/>
        <v>0</v>
      </c>
      <c r="C326" s="334">
        <f t="shared" ref="C326:C389" si="15">+C325+1</f>
        <v>323</v>
      </c>
    </row>
    <row r="327" spans="1:3" s="334" customFormat="1" ht="13.15">
      <c r="A327" s="334">
        <f t="shared" si="14"/>
        <v>324</v>
      </c>
      <c r="B327" s="345">
        <f t="shared" si="13"/>
        <v>0</v>
      </c>
      <c r="C327" s="334">
        <f t="shared" si="15"/>
        <v>324</v>
      </c>
    </row>
    <row r="328" spans="1:3" s="334" customFormat="1" ht="13.15">
      <c r="A328" s="334">
        <f t="shared" si="14"/>
        <v>325</v>
      </c>
      <c r="B328" s="345">
        <f t="shared" si="13"/>
        <v>0</v>
      </c>
      <c r="C328" s="334">
        <f t="shared" si="15"/>
        <v>325</v>
      </c>
    </row>
    <row r="329" spans="1:3" s="334" customFormat="1" ht="13.15">
      <c r="A329" s="334">
        <f t="shared" si="14"/>
        <v>326</v>
      </c>
      <c r="B329" s="345">
        <f t="shared" si="13"/>
        <v>0</v>
      </c>
      <c r="C329" s="334">
        <f t="shared" si="15"/>
        <v>326</v>
      </c>
    </row>
    <row r="330" spans="1:3" s="334" customFormat="1" ht="13.15">
      <c r="A330" s="334">
        <f t="shared" si="14"/>
        <v>327</v>
      </c>
      <c r="B330" s="345">
        <f t="shared" si="13"/>
        <v>0</v>
      </c>
      <c r="C330" s="334">
        <f t="shared" si="15"/>
        <v>327</v>
      </c>
    </row>
    <row r="331" spans="1:3" s="334" customFormat="1" ht="13.15">
      <c r="A331" s="334">
        <f t="shared" si="14"/>
        <v>328</v>
      </c>
      <c r="B331" s="345">
        <f t="shared" si="13"/>
        <v>0</v>
      </c>
      <c r="C331" s="334">
        <f t="shared" si="15"/>
        <v>328</v>
      </c>
    </row>
    <row r="332" spans="1:3">
      <c r="A332" s="260">
        <f t="shared" si="14"/>
        <v>329</v>
      </c>
      <c r="B332" s="266">
        <f t="shared" si="13"/>
        <v>0</v>
      </c>
      <c r="C332" s="260">
        <f t="shared" si="15"/>
        <v>329</v>
      </c>
    </row>
    <row r="333" spans="1:3">
      <c r="A333" s="260">
        <f t="shared" si="14"/>
        <v>330</v>
      </c>
      <c r="B333" s="266">
        <f t="shared" si="13"/>
        <v>0</v>
      </c>
      <c r="C333" s="260">
        <f t="shared" si="15"/>
        <v>330</v>
      </c>
    </row>
    <row r="334" spans="1:3">
      <c r="A334" s="260">
        <f t="shared" si="14"/>
        <v>331</v>
      </c>
      <c r="B334" s="266">
        <f t="shared" si="13"/>
        <v>0</v>
      </c>
      <c r="C334" s="260">
        <f t="shared" si="15"/>
        <v>331</v>
      </c>
    </row>
    <row r="335" spans="1:3">
      <c r="A335" s="260">
        <f t="shared" si="14"/>
        <v>332</v>
      </c>
      <c r="B335" s="266">
        <f t="shared" si="13"/>
        <v>0</v>
      </c>
      <c r="C335" s="260">
        <f t="shared" si="15"/>
        <v>332</v>
      </c>
    </row>
    <row r="336" spans="1:3">
      <c r="A336" s="260">
        <f t="shared" si="14"/>
        <v>333</v>
      </c>
      <c r="B336" s="266">
        <f t="shared" si="13"/>
        <v>0</v>
      </c>
      <c r="C336" s="260">
        <f t="shared" si="15"/>
        <v>333</v>
      </c>
    </row>
    <row r="337" spans="1:3">
      <c r="A337" s="260">
        <f t="shared" si="14"/>
        <v>334</v>
      </c>
      <c r="B337" s="266">
        <f t="shared" si="13"/>
        <v>0</v>
      </c>
      <c r="C337" s="260">
        <f t="shared" si="15"/>
        <v>334</v>
      </c>
    </row>
    <row r="338" spans="1:3">
      <c r="A338" s="260">
        <f t="shared" si="14"/>
        <v>335</v>
      </c>
      <c r="B338" s="266">
        <f t="shared" si="13"/>
        <v>0</v>
      </c>
      <c r="C338" s="260">
        <f t="shared" si="15"/>
        <v>335</v>
      </c>
    </row>
    <row r="339" spans="1:3">
      <c r="A339" s="260">
        <f t="shared" si="14"/>
        <v>336</v>
      </c>
      <c r="B339" s="266">
        <f t="shared" si="13"/>
        <v>0</v>
      </c>
      <c r="C339" s="260">
        <f t="shared" si="15"/>
        <v>336</v>
      </c>
    </row>
    <row r="340" spans="1:3">
      <c r="A340" s="260">
        <f t="shared" si="14"/>
        <v>337</v>
      </c>
      <c r="B340" s="266">
        <f t="shared" si="13"/>
        <v>0</v>
      </c>
      <c r="C340" s="260">
        <f t="shared" si="15"/>
        <v>337</v>
      </c>
    </row>
    <row r="341" spans="1:3">
      <c r="A341" s="260">
        <f t="shared" si="14"/>
        <v>338</v>
      </c>
      <c r="B341" s="266">
        <f t="shared" si="13"/>
        <v>0</v>
      </c>
      <c r="C341" s="260">
        <f t="shared" si="15"/>
        <v>338</v>
      </c>
    </row>
    <row r="342" spans="1:3">
      <c r="A342" s="260">
        <f t="shared" si="14"/>
        <v>339</v>
      </c>
      <c r="B342" s="266">
        <f t="shared" si="13"/>
        <v>0</v>
      </c>
      <c r="C342" s="260">
        <f t="shared" si="15"/>
        <v>339</v>
      </c>
    </row>
    <row r="343" spans="1:3">
      <c r="A343" s="260">
        <f t="shared" si="14"/>
        <v>340</v>
      </c>
      <c r="B343" s="266">
        <f t="shared" si="13"/>
        <v>0</v>
      </c>
      <c r="C343" s="260">
        <f t="shared" si="15"/>
        <v>340</v>
      </c>
    </row>
    <row r="344" spans="1:3">
      <c r="A344" s="260">
        <f t="shared" si="14"/>
        <v>341</v>
      </c>
      <c r="B344" s="266">
        <f t="shared" si="13"/>
        <v>0</v>
      </c>
      <c r="C344" s="260">
        <f t="shared" si="15"/>
        <v>341</v>
      </c>
    </row>
    <row r="345" spans="1:3">
      <c r="A345" s="260">
        <f t="shared" si="14"/>
        <v>342</v>
      </c>
      <c r="B345" s="266">
        <f t="shared" si="13"/>
        <v>0</v>
      </c>
      <c r="C345" s="260">
        <f t="shared" si="15"/>
        <v>342</v>
      </c>
    </row>
    <row r="346" spans="1:3">
      <c r="A346" s="260">
        <f t="shared" si="14"/>
        <v>343</v>
      </c>
      <c r="B346" s="266">
        <f t="shared" si="13"/>
        <v>0</v>
      </c>
      <c r="C346" s="260">
        <f t="shared" si="15"/>
        <v>343</v>
      </c>
    </row>
    <row r="347" spans="1:3">
      <c r="A347" s="260">
        <f t="shared" si="14"/>
        <v>344</v>
      </c>
      <c r="B347" s="266">
        <f t="shared" si="13"/>
        <v>0</v>
      </c>
      <c r="C347" s="260">
        <f t="shared" si="15"/>
        <v>344</v>
      </c>
    </row>
    <row r="348" spans="1:3">
      <c r="A348" s="260">
        <f t="shared" si="14"/>
        <v>345</v>
      </c>
      <c r="B348" s="266">
        <f t="shared" si="13"/>
        <v>0</v>
      </c>
      <c r="C348" s="260">
        <f t="shared" si="15"/>
        <v>345</v>
      </c>
    </row>
    <row r="349" spans="1:3">
      <c r="A349" s="260">
        <f t="shared" si="14"/>
        <v>346</v>
      </c>
      <c r="B349" s="266">
        <f t="shared" si="13"/>
        <v>0</v>
      </c>
      <c r="C349" s="260">
        <f t="shared" si="15"/>
        <v>346</v>
      </c>
    </row>
    <row r="350" spans="1:3">
      <c r="A350" s="260">
        <f t="shared" si="14"/>
        <v>347</v>
      </c>
      <c r="B350" s="266">
        <f t="shared" si="13"/>
        <v>0</v>
      </c>
      <c r="C350" s="260">
        <f t="shared" si="15"/>
        <v>347</v>
      </c>
    </row>
    <row r="351" spans="1:3">
      <c r="A351" s="260">
        <f t="shared" si="14"/>
        <v>348</v>
      </c>
      <c r="B351" s="266">
        <f t="shared" si="13"/>
        <v>0</v>
      </c>
      <c r="C351" s="260">
        <f t="shared" si="15"/>
        <v>348</v>
      </c>
    </row>
    <row r="352" spans="1:3">
      <c r="A352" s="260">
        <f t="shared" si="14"/>
        <v>349</v>
      </c>
      <c r="B352" s="266">
        <f t="shared" si="13"/>
        <v>0</v>
      </c>
      <c r="C352" s="260">
        <f t="shared" si="15"/>
        <v>349</v>
      </c>
    </row>
    <row r="353" spans="1:3">
      <c r="A353" s="260">
        <f t="shared" si="14"/>
        <v>350</v>
      </c>
      <c r="B353" s="266">
        <f t="shared" si="13"/>
        <v>0</v>
      </c>
      <c r="C353" s="260">
        <f t="shared" si="15"/>
        <v>350</v>
      </c>
    </row>
    <row r="354" spans="1:3">
      <c r="A354" s="260">
        <f t="shared" si="14"/>
        <v>351</v>
      </c>
      <c r="B354" s="266">
        <f t="shared" si="13"/>
        <v>0</v>
      </c>
      <c r="C354" s="260">
        <f t="shared" si="15"/>
        <v>351</v>
      </c>
    </row>
    <row r="355" spans="1:3">
      <c r="A355" s="260">
        <f t="shared" si="14"/>
        <v>352</v>
      </c>
      <c r="B355" s="266">
        <f t="shared" si="13"/>
        <v>0</v>
      </c>
      <c r="C355" s="260">
        <f t="shared" si="15"/>
        <v>352</v>
      </c>
    </row>
    <row r="356" spans="1:3">
      <c r="A356" s="260">
        <f t="shared" si="14"/>
        <v>353</v>
      </c>
      <c r="B356" s="266">
        <f t="shared" si="13"/>
        <v>0</v>
      </c>
      <c r="C356" s="260">
        <f t="shared" si="15"/>
        <v>353</v>
      </c>
    </row>
    <row r="357" spans="1:3">
      <c r="A357" s="260">
        <f t="shared" si="14"/>
        <v>354</v>
      </c>
      <c r="B357" s="266">
        <f t="shared" si="13"/>
        <v>0</v>
      </c>
      <c r="C357" s="260">
        <f t="shared" si="15"/>
        <v>354</v>
      </c>
    </row>
    <row r="358" spans="1:3">
      <c r="A358" s="260">
        <f t="shared" si="14"/>
        <v>355</v>
      </c>
      <c r="B358" s="266">
        <f t="shared" si="13"/>
        <v>0</v>
      </c>
      <c r="C358" s="260">
        <f t="shared" si="15"/>
        <v>355</v>
      </c>
    </row>
    <row r="359" spans="1:3">
      <c r="A359" s="260">
        <f t="shared" si="14"/>
        <v>356</v>
      </c>
      <c r="B359" s="266">
        <f t="shared" si="13"/>
        <v>0</v>
      </c>
      <c r="C359" s="260">
        <f t="shared" si="15"/>
        <v>356</v>
      </c>
    </row>
    <row r="360" spans="1:3">
      <c r="A360" s="260">
        <f t="shared" si="14"/>
        <v>357</v>
      </c>
      <c r="B360" s="266">
        <f t="shared" si="13"/>
        <v>0</v>
      </c>
      <c r="C360" s="260">
        <f t="shared" si="15"/>
        <v>357</v>
      </c>
    </row>
    <row r="361" spans="1:3">
      <c r="A361" s="260">
        <f t="shared" si="14"/>
        <v>358</v>
      </c>
      <c r="B361" s="266">
        <f t="shared" si="13"/>
        <v>0</v>
      </c>
      <c r="C361" s="260">
        <f t="shared" si="15"/>
        <v>358</v>
      </c>
    </row>
    <row r="362" spans="1:3">
      <c r="A362" s="260">
        <f t="shared" si="14"/>
        <v>359</v>
      </c>
      <c r="B362" s="266">
        <f t="shared" si="13"/>
        <v>0</v>
      </c>
      <c r="C362" s="260">
        <f t="shared" si="15"/>
        <v>359</v>
      </c>
    </row>
    <row r="363" spans="1:3">
      <c r="A363" s="260">
        <f t="shared" si="14"/>
        <v>360</v>
      </c>
      <c r="B363" s="266">
        <f t="shared" si="13"/>
        <v>0</v>
      </c>
      <c r="C363" s="260">
        <f t="shared" si="15"/>
        <v>360</v>
      </c>
    </row>
    <row r="364" spans="1:3">
      <c r="A364" s="260">
        <f t="shared" si="14"/>
        <v>361</v>
      </c>
      <c r="B364" s="266">
        <f t="shared" ref="B364:B427" si="16">VLOOKUP(A364,$C$4:$V$10001,1+$A$1)</f>
        <v>0</v>
      </c>
      <c r="C364" s="260">
        <f t="shared" si="15"/>
        <v>361</v>
      </c>
    </row>
    <row r="365" spans="1:3">
      <c r="A365" s="260">
        <f t="shared" si="14"/>
        <v>362</v>
      </c>
      <c r="B365" s="266">
        <f t="shared" si="16"/>
        <v>0</v>
      </c>
      <c r="C365" s="260">
        <f t="shared" si="15"/>
        <v>362</v>
      </c>
    </row>
    <row r="366" spans="1:3">
      <c r="A366" s="260">
        <f t="shared" si="14"/>
        <v>363</v>
      </c>
      <c r="B366" s="266">
        <f t="shared" si="16"/>
        <v>0</v>
      </c>
      <c r="C366" s="260">
        <f t="shared" si="15"/>
        <v>363</v>
      </c>
    </row>
    <row r="367" spans="1:3">
      <c r="A367" s="260">
        <f t="shared" si="14"/>
        <v>364</v>
      </c>
      <c r="B367" s="266">
        <f t="shared" si="16"/>
        <v>0</v>
      </c>
      <c r="C367" s="260">
        <f t="shared" si="15"/>
        <v>364</v>
      </c>
    </row>
    <row r="368" spans="1:3">
      <c r="A368" s="260">
        <f t="shared" si="14"/>
        <v>365</v>
      </c>
      <c r="B368" s="266">
        <f t="shared" si="16"/>
        <v>0</v>
      </c>
      <c r="C368" s="260">
        <f t="shared" si="15"/>
        <v>365</v>
      </c>
    </row>
    <row r="369" spans="1:3">
      <c r="A369" s="260">
        <f t="shared" si="14"/>
        <v>366</v>
      </c>
      <c r="B369" s="266">
        <f t="shared" si="16"/>
        <v>0</v>
      </c>
      <c r="C369" s="260">
        <f t="shared" si="15"/>
        <v>366</v>
      </c>
    </row>
    <row r="370" spans="1:3">
      <c r="A370" s="260">
        <f t="shared" si="14"/>
        <v>367</v>
      </c>
      <c r="B370" s="266">
        <f t="shared" si="16"/>
        <v>0</v>
      </c>
      <c r="C370" s="260">
        <f t="shared" si="15"/>
        <v>367</v>
      </c>
    </row>
    <row r="371" spans="1:3">
      <c r="A371" s="260">
        <f t="shared" si="14"/>
        <v>368</v>
      </c>
      <c r="B371" s="266">
        <f t="shared" si="16"/>
        <v>0</v>
      </c>
      <c r="C371" s="260">
        <f t="shared" si="15"/>
        <v>368</v>
      </c>
    </row>
    <row r="372" spans="1:3">
      <c r="A372" s="260">
        <f t="shared" si="14"/>
        <v>369</v>
      </c>
      <c r="B372" s="266">
        <f t="shared" si="16"/>
        <v>0</v>
      </c>
      <c r="C372" s="260">
        <f t="shared" si="15"/>
        <v>369</v>
      </c>
    </row>
    <row r="373" spans="1:3">
      <c r="A373" s="260">
        <f t="shared" si="14"/>
        <v>370</v>
      </c>
      <c r="B373" s="266">
        <f t="shared" si="16"/>
        <v>0</v>
      </c>
      <c r="C373" s="260">
        <f t="shared" si="15"/>
        <v>370</v>
      </c>
    </row>
    <row r="374" spans="1:3">
      <c r="A374" s="260">
        <f t="shared" si="14"/>
        <v>371</v>
      </c>
      <c r="B374" s="266">
        <f t="shared" si="16"/>
        <v>0</v>
      </c>
      <c r="C374" s="260">
        <f t="shared" si="15"/>
        <v>371</v>
      </c>
    </row>
    <row r="375" spans="1:3">
      <c r="A375" s="260">
        <f t="shared" si="14"/>
        <v>372</v>
      </c>
      <c r="B375" s="266">
        <f t="shared" si="16"/>
        <v>0</v>
      </c>
      <c r="C375" s="260">
        <f t="shared" si="15"/>
        <v>372</v>
      </c>
    </row>
    <row r="376" spans="1:3">
      <c r="A376" s="260">
        <f t="shared" si="14"/>
        <v>373</v>
      </c>
      <c r="B376" s="266">
        <f t="shared" si="16"/>
        <v>0</v>
      </c>
      <c r="C376" s="260">
        <f t="shared" si="15"/>
        <v>373</v>
      </c>
    </row>
    <row r="377" spans="1:3">
      <c r="A377" s="260">
        <f t="shared" si="14"/>
        <v>374</v>
      </c>
      <c r="B377" s="266">
        <f t="shared" si="16"/>
        <v>0</v>
      </c>
      <c r="C377" s="260">
        <f t="shared" si="15"/>
        <v>374</v>
      </c>
    </row>
    <row r="378" spans="1:3">
      <c r="A378" s="260">
        <f t="shared" si="14"/>
        <v>375</v>
      </c>
      <c r="B378" s="266">
        <f t="shared" si="16"/>
        <v>0</v>
      </c>
      <c r="C378" s="260">
        <f t="shared" si="15"/>
        <v>375</v>
      </c>
    </row>
    <row r="379" spans="1:3">
      <c r="A379" s="260">
        <f t="shared" si="14"/>
        <v>376</v>
      </c>
      <c r="B379" s="266">
        <f t="shared" si="16"/>
        <v>0</v>
      </c>
      <c r="C379" s="260">
        <f t="shared" si="15"/>
        <v>376</v>
      </c>
    </row>
    <row r="380" spans="1:3">
      <c r="A380" s="260">
        <f t="shared" si="14"/>
        <v>377</v>
      </c>
      <c r="B380" s="266">
        <f t="shared" si="16"/>
        <v>0</v>
      </c>
      <c r="C380" s="260">
        <f t="shared" si="15"/>
        <v>377</v>
      </c>
    </row>
    <row r="381" spans="1:3">
      <c r="A381" s="260">
        <f t="shared" si="14"/>
        <v>378</v>
      </c>
      <c r="B381" s="266">
        <f t="shared" si="16"/>
        <v>0</v>
      </c>
      <c r="C381" s="260">
        <f t="shared" si="15"/>
        <v>378</v>
      </c>
    </row>
    <row r="382" spans="1:3">
      <c r="A382" s="260">
        <f t="shared" si="14"/>
        <v>379</v>
      </c>
      <c r="B382" s="266">
        <f t="shared" si="16"/>
        <v>0</v>
      </c>
      <c r="C382" s="260">
        <f t="shared" si="15"/>
        <v>379</v>
      </c>
    </row>
    <row r="383" spans="1:3">
      <c r="A383" s="260">
        <f t="shared" si="14"/>
        <v>380</v>
      </c>
      <c r="B383" s="266">
        <f t="shared" si="16"/>
        <v>0</v>
      </c>
      <c r="C383" s="260">
        <f t="shared" si="15"/>
        <v>380</v>
      </c>
    </row>
    <row r="384" spans="1:3">
      <c r="A384" s="260">
        <f t="shared" si="14"/>
        <v>381</v>
      </c>
      <c r="B384" s="266">
        <f t="shared" si="16"/>
        <v>0</v>
      </c>
      <c r="C384" s="260">
        <f t="shared" si="15"/>
        <v>381</v>
      </c>
    </row>
    <row r="385" spans="1:3">
      <c r="A385" s="260">
        <f t="shared" si="14"/>
        <v>382</v>
      </c>
      <c r="B385" s="266">
        <f t="shared" si="16"/>
        <v>0</v>
      </c>
      <c r="C385" s="260">
        <f t="shared" si="15"/>
        <v>382</v>
      </c>
    </row>
    <row r="386" spans="1:3">
      <c r="A386" s="260">
        <f t="shared" si="14"/>
        <v>383</v>
      </c>
      <c r="B386" s="266">
        <f t="shared" si="16"/>
        <v>0</v>
      </c>
      <c r="C386" s="260">
        <f t="shared" si="15"/>
        <v>383</v>
      </c>
    </row>
    <row r="387" spans="1:3">
      <c r="A387" s="260">
        <f t="shared" si="14"/>
        <v>384</v>
      </c>
      <c r="B387" s="266">
        <f t="shared" si="16"/>
        <v>0</v>
      </c>
      <c r="C387" s="260">
        <f t="shared" si="15"/>
        <v>384</v>
      </c>
    </row>
    <row r="388" spans="1:3">
      <c r="A388" s="260">
        <f t="shared" ref="A388:A451" si="17">C388</f>
        <v>385</v>
      </c>
      <c r="B388" s="266">
        <f t="shared" si="16"/>
        <v>0</v>
      </c>
      <c r="C388" s="260">
        <f t="shared" si="15"/>
        <v>385</v>
      </c>
    </row>
    <row r="389" spans="1:3">
      <c r="A389" s="260">
        <f t="shared" si="17"/>
        <v>386</v>
      </c>
      <c r="B389" s="266">
        <f t="shared" si="16"/>
        <v>0</v>
      </c>
      <c r="C389" s="260">
        <f t="shared" si="15"/>
        <v>386</v>
      </c>
    </row>
    <row r="390" spans="1:3">
      <c r="A390" s="260">
        <f t="shared" si="17"/>
        <v>387</v>
      </c>
      <c r="B390" s="266">
        <f t="shared" si="16"/>
        <v>0</v>
      </c>
      <c r="C390" s="260">
        <f t="shared" ref="C390:C453" si="18">+C389+1</f>
        <v>387</v>
      </c>
    </row>
    <row r="391" spans="1:3">
      <c r="A391" s="260">
        <f t="shared" si="17"/>
        <v>388</v>
      </c>
      <c r="B391" s="266">
        <f t="shared" si="16"/>
        <v>0</v>
      </c>
      <c r="C391" s="260">
        <f t="shared" si="18"/>
        <v>388</v>
      </c>
    </row>
    <row r="392" spans="1:3">
      <c r="A392" s="260">
        <f t="shared" si="17"/>
        <v>389</v>
      </c>
      <c r="B392" s="266">
        <f t="shared" si="16"/>
        <v>0</v>
      </c>
      <c r="C392" s="260">
        <f t="shared" si="18"/>
        <v>389</v>
      </c>
    </row>
    <row r="393" spans="1:3">
      <c r="A393" s="260">
        <f t="shared" si="17"/>
        <v>390</v>
      </c>
      <c r="B393" s="266">
        <f t="shared" si="16"/>
        <v>0</v>
      </c>
      <c r="C393" s="260">
        <f t="shared" si="18"/>
        <v>390</v>
      </c>
    </row>
    <row r="394" spans="1:3">
      <c r="A394" s="260">
        <f t="shared" si="17"/>
        <v>391</v>
      </c>
      <c r="B394" s="266">
        <f t="shared" si="16"/>
        <v>0</v>
      </c>
      <c r="C394" s="260">
        <f t="shared" si="18"/>
        <v>391</v>
      </c>
    </row>
    <row r="395" spans="1:3">
      <c r="A395" s="260">
        <f t="shared" si="17"/>
        <v>392</v>
      </c>
      <c r="B395" s="266">
        <f t="shared" si="16"/>
        <v>0</v>
      </c>
      <c r="C395" s="260">
        <f t="shared" si="18"/>
        <v>392</v>
      </c>
    </row>
    <row r="396" spans="1:3">
      <c r="A396" s="260">
        <f t="shared" si="17"/>
        <v>393</v>
      </c>
      <c r="B396" s="266">
        <f t="shared" si="16"/>
        <v>0</v>
      </c>
      <c r="C396" s="260">
        <f t="shared" si="18"/>
        <v>393</v>
      </c>
    </row>
    <row r="397" spans="1:3">
      <c r="A397" s="260">
        <f t="shared" si="17"/>
        <v>394</v>
      </c>
      <c r="B397" s="266">
        <f t="shared" si="16"/>
        <v>0</v>
      </c>
      <c r="C397" s="260">
        <f t="shared" si="18"/>
        <v>394</v>
      </c>
    </row>
    <row r="398" spans="1:3">
      <c r="A398" s="260">
        <f t="shared" si="17"/>
        <v>395</v>
      </c>
      <c r="B398" s="266">
        <f t="shared" si="16"/>
        <v>0</v>
      </c>
      <c r="C398" s="260">
        <f t="shared" si="18"/>
        <v>395</v>
      </c>
    </row>
    <row r="399" spans="1:3">
      <c r="A399" s="260">
        <f t="shared" si="17"/>
        <v>396</v>
      </c>
      <c r="B399" s="266">
        <f t="shared" si="16"/>
        <v>0</v>
      </c>
      <c r="C399" s="260">
        <f t="shared" si="18"/>
        <v>396</v>
      </c>
    </row>
    <row r="400" spans="1:3">
      <c r="A400" s="260">
        <f t="shared" si="17"/>
        <v>397</v>
      </c>
      <c r="B400" s="266">
        <f t="shared" si="16"/>
        <v>0</v>
      </c>
      <c r="C400" s="260">
        <f t="shared" si="18"/>
        <v>397</v>
      </c>
    </row>
    <row r="401" spans="1:3">
      <c r="A401" s="260">
        <f t="shared" si="17"/>
        <v>398</v>
      </c>
      <c r="B401" s="266">
        <f t="shared" si="16"/>
        <v>0</v>
      </c>
      <c r="C401" s="260">
        <f t="shared" si="18"/>
        <v>398</v>
      </c>
    </row>
    <row r="402" spans="1:3">
      <c r="A402" s="260">
        <f t="shared" si="17"/>
        <v>399</v>
      </c>
      <c r="B402" s="266">
        <f t="shared" si="16"/>
        <v>0</v>
      </c>
      <c r="C402" s="260">
        <f t="shared" si="18"/>
        <v>399</v>
      </c>
    </row>
    <row r="403" spans="1:3">
      <c r="A403" s="260">
        <f t="shared" si="17"/>
        <v>400</v>
      </c>
      <c r="B403" s="266">
        <f t="shared" si="16"/>
        <v>0</v>
      </c>
      <c r="C403" s="260">
        <f t="shared" si="18"/>
        <v>400</v>
      </c>
    </row>
    <row r="404" spans="1:3">
      <c r="A404" s="260">
        <f t="shared" si="17"/>
        <v>401</v>
      </c>
      <c r="B404" s="266">
        <f t="shared" si="16"/>
        <v>0</v>
      </c>
      <c r="C404" s="260">
        <f t="shared" si="18"/>
        <v>401</v>
      </c>
    </row>
    <row r="405" spans="1:3">
      <c r="A405" s="260">
        <f t="shared" si="17"/>
        <v>402</v>
      </c>
      <c r="B405" s="266">
        <f t="shared" si="16"/>
        <v>0</v>
      </c>
      <c r="C405" s="260">
        <f t="shared" si="18"/>
        <v>402</v>
      </c>
    </row>
    <row r="406" spans="1:3">
      <c r="A406" s="260">
        <f t="shared" si="17"/>
        <v>403</v>
      </c>
      <c r="B406" s="266">
        <f t="shared" si="16"/>
        <v>0</v>
      </c>
      <c r="C406" s="260">
        <f t="shared" si="18"/>
        <v>403</v>
      </c>
    </row>
    <row r="407" spans="1:3">
      <c r="A407" s="260">
        <f t="shared" si="17"/>
        <v>404</v>
      </c>
      <c r="B407" s="266">
        <f t="shared" si="16"/>
        <v>0</v>
      </c>
      <c r="C407" s="260">
        <f t="shared" si="18"/>
        <v>404</v>
      </c>
    </row>
    <row r="408" spans="1:3">
      <c r="A408" s="260">
        <f t="shared" si="17"/>
        <v>405</v>
      </c>
      <c r="B408" s="266">
        <f t="shared" si="16"/>
        <v>0</v>
      </c>
      <c r="C408" s="260">
        <f t="shared" si="18"/>
        <v>405</v>
      </c>
    </row>
    <row r="409" spans="1:3">
      <c r="A409" s="260">
        <f t="shared" si="17"/>
        <v>406</v>
      </c>
      <c r="B409" s="266">
        <f t="shared" si="16"/>
        <v>0</v>
      </c>
      <c r="C409" s="260">
        <f t="shared" si="18"/>
        <v>406</v>
      </c>
    </row>
    <row r="410" spans="1:3">
      <c r="A410" s="260">
        <f t="shared" si="17"/>
        <v>407</v>
      </c>
      <c r="B410" s="266">
        <f t="shared" si="16"/>
        <v>0</v>
      </c>
      <c r="C410" s="260">
        <f t="shared" si="18"/>
        <v>407</v>
      </c>
    </row>
    <row r="411" spans="1:3">
      <c r="A411" s="260">
        <f t="shared" si="17"/>
        <v>408</v>
      </c>
      <c r="B411" s="266">
        <f t="shared" si="16"/>
        <v>0</v>
      </c>
      <c r="C411" s="260">
        <f t="shared" si="18"/>
        <v>408</v>
      </c>
    </row>
    <row r="412" spans="1:3">
      <c r="A412" s="260">
        <f t="shared" si="17"/>
        <v>409</v>
      </c>
      <c r="B412" s="266">
        <f t="shared" si="16"/>
        <v>0</v>
      </c>
      <c r="C412" s="260">
        <f t="shared" si="18"/>
        <v>409</v>
      </c>
    </row>
    <row r="413" spans="1:3">
      <c r="A413" s="260">
        <f t="shared" si="17"/>
        <v>410</v>
      </c>
      <c r="B413" s="266">
        <f t="shared" si="16"/>
        <v>0</v>
      </c>
      <c r="C413" s="260">
        <f t="shared" si="18"/>
        <v>410</v>
      </c>
    </row>
    <row r="414" spans="1:3">
      <c r="A414" s="260">
        <f t="shared" si="17"/>
        <v>411</v>
      </c>
      <c r="B414" s="266">
        <f t="shared" si="16"/>
        <v>0</v>
      </c>
      <c r="C414" s="260">
        <f t="shared" si="18"/>
        <v>411</v>
      </c>
    </row>
    <row r="415" spans="1:3">
      <c r="A415" s="260">
        <f t="shared" si="17"/>
        <v>412</v>
      </c>
      <c r="B415" s="266">
        <f t="shared" si="16"/>
        <v>0</v>
      </c>
      <c r="C415" s="260">
        <f t="shared" si="18"/>
        <v>412</v>
      </c>
    </row>
    <row r="416" spans="1:3">
      <c r="A416" s="260">
        <f t="shared" si="17"/>
        <v>413</v>
      </c>
      <c r="B416" s="266">
        <f t="shared" si="16"/>
        <v>0</v>
      </c>
      <c r="C416" s="260">
        <f t="shared" si="18"/>
        <v>413</v>
      </c>
    </row>
    <row r="417" spans="1:3">
      <c r="A417" s="260">
        <f t="shared" si="17"/>
        <v>414</v>
      </c>
      <c r="B417" s="266">
        <f t="shared" si="16"/>
        <v>0</v>
      </c>
      <c r="C417" s="260">
        <f t="shared" si="18"/>
        <v>414</v>
      </c>
    </row>
    <row r="418" spans="1:3">
      <c r="A418" s="260">
        <f t="shared" si="17"/>
        <v>415</v>
      </c>
      <c r="B418" s="266">
        <f t="shared" si="16"/>
        <v>0</v>
      </c>
      <c r="C418" s="260">
        <f t="shared" si="18"/>
        <v>415</v>
      </c>
    </row>
    <row r="419" spans="1:3">
      <c r="A419" s="260">
        <f t="shared" si="17"/>
        <v>416</v>
      </c>
      <c r="B419" s="266">
        <f t="shared" si="16"/>
        <v>0</v>
      </c>
      <c r="C419" s="260">
        <f t="shared" si="18"/>
        <v>416</v>
      </c>
    </row>
    <row r="420" spans="1:3">
      <c r="A420" s="260">
        <f t="shared" si="17"/>
        <v>417</v>
      </c>
      <c r="B420" s="266">
        <f t="shared" si="16"/>
        <v>0</v>
      </c>
      <c r="C420" s="260">
        <f t="shared" si="18"/>
        <v>417</v>
      </c>
    </row>
    <row r="421" spans="1:3">
      <c r="A421" s="260">
        <f t="shared" si="17"/>
        <v>418</v>
      </c>
      <c r="B421" s="266">
        <f t="shared" si="16"/>
        <v>0</v>
      </c>
      <c r="C421" s="260">
        <f t="shared" si="18"/>
        <v>418</v>
      </c>
    </row>
    <row r="422" spans="1:3">
      <c r="A422" s="260">
        <f t="shared" si="17"/>
        <v>419</v>
      </c>
      <c r="B422" s="266">
        <f t="shared" si="16"/>
        <v>0</v>
      </c>
      <c r="C422" s="260">
        <f t="shared" si="18"/>
        <v>419</v>
      </c>
    </row>
    <row r="423" spans="1:3">
      <c r="A423" s="260">
        <f t="shared" si="17"/>
        <v>420</v>
      </c>
      <c r="B423" s="266">
        <f t="shared" si="16"/>
        <v>0</v>
      </c>
      <c r="C423" s="260">
        <f t="shared" si="18"/>
        <v>420</v>
      </c>
    </row>
    <row r="424" spans="1:3">
      <c r="A424" s="260">
        <f t="shared" si="17"/>
        <v>421</v>
      </c>
      <c r="B424" s="266">
        <f t="shared" si="16"/>
        <v>0</v>
      </c>
      <c r="C424" s="260">
        <f t="shared" si="18"/>
        <v>421</v>
      </c>
    </row>
    <row r="425" spans="1:3">
      <c r="A425" s="260">
        <f t="shared" si="17"/>
        <v>422</v>
      </c>
      <c r="B425" s="266">
        <f t="shared" si="16"/>
        <v>0</v>
      </c>
      <c r="C425" s="260">
        <f t="shared" si="18"/>
        <v>422</v>
      </c>
    </row>
    <row r="426" spans="1:3">
      <c r="A426" s="260">
        <f t="shared" si="17"/>
        <v>423</v>
      </c>
      <c r="B426" s="266">
        <f t="shared" si="16"/>
        <v>0</v>
      </c>
      <c r="C426" s="260">
        <f t="shared" si="18"/>
        <v>423</v>
      </c>
    </row>
    <row r="427" spans="1:3">
      <c r="A427" s="260">
        <f t="shared" si="17"/>
        <v>424</v>
      </c>
      <c r="B427" s="266">
        <f t="shared" si="16"/>
        <v>0</v>
      </c>
      <c r="C427" s="260">
        <f t="shared" si="18"/>
        <v>424</v>
      </c>
    </row>
    <row r="428" spans="1:3">
      <c r="A428" s="260">
        <f t="shared" si="17"/>
        <v>425</v>
      </c>
      <c r="B428" s="266">
        <f t="shared" ref="B428:B491" si="19">VLOOKUP(A428,$C$4:$V$10001,1+$A$1)</f>
        <v>0</v>
      </c>
      <c r="C428" s="260">
        <f t="shared" si="18"/>
        <v>425</v>
      </c>
    </row>
    <row r="429" spans="1:3">
      <c r="A429" s="260">
        <f t="shared" si="17"/>
        <v>426</v>
      </c>
      <c r="B429" s="266">
        <f t="shared" si="19"/>
        <v>0</v>
      </c>
      <c r="C429" s="260">
        <f t="shared" si="18"/>
        <v>426</v>
      </c>
    </row>
    <row r="430" spans="1:3">
      <c r="A430" s="260">
        <f t="shared" si="17"/>
        <v>427</v>
      </c>
      <c r="B430" s="266">
        <f t="shared" si="19"/>
        <v>0</v>
      </c>
      <c r="C430" s="260">
        <f t="shared" si="18"/>
        <v>427</v>
      </c>
    </row>
    <row r="431" spans="1:3">
      <c r="A431" s="260">
        <f t="shared" si="17"/>
        <v>428</v>
      </c>
      <c r="B431" s="266">
        <f t="shared" si="19"/>
        <v>0</v>
      </c>
      <c r="C431" s="260">
        <f t="shared" si="18"/>
        <v>428</v>
      </c>
    </row>
    <row r="432" spans="1:3">
      <c r="A432" s="260">
        <f t="shared" si="17"/>
        <v>429</v>
      </c>
      <c r="B432" s="266">
        <f t="shared" si="19"/>
        <v>0</v>
      </c>
      <c r="C432" s="260">
        <f t="shared" si="18"/>
        <v>429</v>
      </c>
    </row>
    <row r="433" spans="1:3">
      <c r="A433" s="260">
        <f t="shared" si="17"/>
        <v>430</v>
      </c>
      <c r="B433" s="266">
        <f t="shared" si="19"/>
        <v>0</v>
      </c>
      <c r="C433" s="260">
        <f t="shared" si="18"/>
        <v>430</v>
      </c>
    </row>
    <row r="434" spans="1:3">
      <c r="A434" s="260">
        <f t="shared" si="17"/>
        <v>431</v>
      </c>
      <c r="B434" s="266">
        <f t="shared" si="19"/>
        <v>0</v>
      </c>
      <c r="C434" s="260">
        <f t="shared" si="18"/>
        <v>431</v>
      </c>
    </row>
    <row r="435" spans="1:3">
      <c r="A435" s="260">
        <f t="shared" si="17"/>
        <v>432</v>
      </c>
      <c r="B435" s="266">
        <f t="shared" si="19"/>
        <v>0</v>
      </c>
      <c r="C435" s="260">
        <f t="shared" si="18"/>
        <v>432</v>
      </c>
    </row>
    <row r="436" spans="1:3">
      <c r="A436" s="260">
        <f t="shared" si="17"/>
        <v>433</v>
      </c>
      <c r="B436" s="266">
        <f t="shared" si="19"/>
        <v>0</v>
      </c>
      <c r="C436" s="260">
        <f t="shared" si="18"/>
        <v>433</v>
      </c>
    </row>
    <row r="437" spans="1:3">
      <c r="A437" s="260">
        <f t="shared" si="17"/>
        <v>434</v>
      </c>
      <c r="B437" s="266">
        <f t="shared" si="19"/>
        <v>0</v>
      </c>
      <c r="C437" s="260">
        <f t="shared" si="18"/>
        <v>434</v>
      </c>
    </row>
    <row r="438" spans="1:3">
      <c r="A438" s="260">
        <f t="shared" si="17"/>
        <v>435</v>
      </c>
      <c r="B438" s="266">
        <f t="shared" si="19"/>
        <v>0</v>
      </c>
      <c r="C438" s="260">
        <f t="shared" si="18"/>
        <v>435</v>
      </c>
    </row>
    <row r="439" spans="1:3">
      <c r="A439" s="260">
        <f t="shared" si="17"/>
        <v>436</v>
      </c>
      <c r="B439" s="266">
        <f t="shared" si="19"/>
        <v>0</v>
      </c>
      <c r="C439" s="260">
        <f t="shared" si="18"/>
        <v>436</v>
      </c>
    </row>
    <row r="440" spans="1:3">
      <c r="A440" s="260">
        <f t="shared" si="17"/>
        <v>437</v>
      </c>
      <c r="B440" s="266">
        <f t="shared" si="19"/>
        <v>0</v>
      </c>
      <c r="C440" s="260">
        <f t="shared" si="18"/>
        <v>437</v>
      </c>
    </row>
    <row r="441" spans="1:3">
      <c r="A441" s="260">
        <f t="shared" si="17"/>
        <v>438</v>
      </c>
      <c r="B441" s="266">
        <f t="shared" si="19"/>
        <v>0</v>
      </c>
      <c r="C441" s="260">
        <f t="shared" si="18"/>
        <v>438</v>
      </c>
    </row>
    <row r="442" spans="1:3">
      <c r="A442" s="260">
        <f t="shared" si="17"/>
        <v>439</v>
      </c>
      <c r="B442" s="266">
        <f t="shared" si="19"/>
        <v>0</v>
      </c>
      <c r="C442" s="260">
        <f t="shared" si="18"/>
        <v>439</v>
      </c>
    </row>
    <row r="443" spans="1:3">
      <c r="A443" s="260">
        <f t="shared" si="17"/>
        <v>440</v>
      </c>
      <c r="B443" s="266">
        <f t="shared" si="19"/>
        <v>0</v>
      </c>
      <c r="C443" s="260">
        <f t="shared" si="18"/>
        <v>440</v>
      </c>
    </row>
    <row r="444" spans="1:3">
      <c r="A444" s="260">
        <f t="shared" si="17"/>
        <v>441</v>
      </c>
      <c r="B444" s="266">
        <f t="shared" si="19"/>
        <v>0</v>
      </c>
      <c r="C444" s="260">
        <f t="shared" si="18"/>
        <v>441</v>
      </c>
    </row>
    <row r="445" spans="1:3">
      <c r="A445" s="260">
        <f t="shared" si="17"/>
        <v>442</v>
      </c>
      <c r="B445" s="266">
        <f t="shared" si="19"/>
        <v>0</v>
      </c>
      <c r="C445" s="260">
        <f t="shared" si="18"/>
        <v>442</v>
      </c>
    </row>
    <row r="446" spans="1:3">
      <c r="A446" s="260">
        <f t="shared" si="17"/>
        <v>443</v>
      </c>
      <c r="B446" s="266">
        <f t="shared" si="19"/>
        <v>0</v>
      </c>
      <c r="C446" s="260">
        <f t="shared" si="18"/>
        <v>443</v>
      </c>
    </row>
    <row r="447" spans="1:3">
      <c r="A447" s="260">
        <f t="shared" si="17"/>
        <v>444</v>
      </c>
      <c r="B447" s="266">
        <f t="shared" si="19"/>
        <v>0</v>
      </c>
      <c r="C447" s="260">
        <f t="shared" si="18"/>
        <v>444</v>
      </c>
    </row>
    <row r="448" spans="1:3">
      <c r="A448" s="260">
        <f t="shared" si="17"/>
        <v>445</v>
      </c>
      <c r="B448" s="266">
        <f t="shared" si="19"/>
        <v>0</v>
      </c>
      <c r="C448" s="260">
        <f t="shared" si="18"/>
        <v>445</v>
      </c>
    </row>
    <row r="449" spans="1:3">
      <c r="A449" s="260">
        <f t="shared" si="17"/>
        <v>446</v>
      </c>
      <c r="B449" s="266">
        <f t="shared" si="19"/>
        <v>0</v>
      </c>
      <c r="C449" s="260">
        <f t="shared" si="18"/>
        <v>446</v>
      </c>
    </row>
    <row r="450" spans="1:3">
      <c r="A450" s="260">
        <f t="shared" si="17"/>
        <v>447</v>
      </c>
      <c r="B450" s="266">
        <f t="shared" si="19"/>
        <v>0</v>
      </c>
      <c r="C450" s="260">
        <f t="shared" si="18"/>
        <v>447</v>
      </c>
    </row>
    <row r="451" spans="1:3">
      <c r="A451" s="260">
        <f t="shared" si="17"/>
        <v>448</v>
      </c>
      <c r="B451" s="266">
        <f t="shared" si="19"/>
        <v>0</v>
      </c>
      <c r="C451" s="260">
        <f t="shared" si="18"/>
        <v>448</v>
      </c>
    </row>
    <row r="452" spans="1:3">
      <c r="A452" s="260">
        <f t="shared" ref="A452:A515" si="20">C452</f>
        <v>449</v>
      </c>
      <c r="B452" s="266">
        <f t="shared" si="19"/>
        <v>0</v>
      </c>
      <c r="C452" s="260">
        <f t="shared" si="18"/>
        <v>449</v>
      </c>
    </row>
    <row r="453" spans="1:3">
      <c r="A453" s="260">
        <f t="shared" si="20"/>
        <v>450</v>
      </c>
      <c r="B453" s="266">
        <f t="shared" si="19"/>
        <v>0</v>
      </c>
      <c r="C453" s="260">
        <f t="shared" si="18"/>
        <v>450</v>
      </c>
    </row>
    <row r="454" spans="1:3">
      <c r="A454" s="260">
        <f t="shared" si="20"/>
        <v>451</v>
      </c>
      <c r="B454" s="266">
        <f t="shared" si="19"/>
        <v>0</v>
      </c>
      <c r="C454" s="260">
        <f t="shared" ref="C454:C517" si="21">+C453+1</f>
        <v>451</v>
      </c>
    </row>
    <row r="455" spans="1:3">
      <c r="A455" s="260">
        <f t="shared" si="20"/>
        <v>452</v>
      </c>
      <c r="B455" s="266">
        <f t="shared" si="19"/>
        <v>0</v>
      </c>
      <c r="C455" s="260">
        <f t="shared" si="21"/>
        <v>452</v>
      </c>
    </row>
    <row r="456" spans="1:3">
      <c r="A456" s="260">
        <f t="shared" si="20"/>
        <v>453</v>
      </c>
      <c r="B456" s="266">
        <f t="shared" si="19"/>
        <v>0</v>
      </c>
      <c r="C456" s="260">
        <f t="shared" si="21"/>
        <v>453</v>
      </c>
    </row>
    <row r="457" spans="1:3">
      <c r="A457" s="260">
        <f t="shared" si="20"/>
        <v>454</v>
      </c>
      <c r="B457" s="266">
        <f t="shared" si="19"/>
        <v>0</v>
      </c>
      <c r="C457" s="260">
        <f t="shared" si="21"/>
        <v>454</v>
      </c>
    </row>
    <row r="458" spans="1:3">
      <c r="A458" s="260">
        <f t="shared" si="20"/>
        <v>455</v>
      </c>
      <c r="B458" s="266">
        <f t="shared" si="19"/>
        <v>0</v>
      </c>
      <c r="C458" s="260">
        <f t="shared" si="21"/>
        <v>455</v>
      </c>
    </row>
    <row r="459" spans="1:3">
      <c r="A459" s="260">
        <f t="shared" si="20"/>
        <v>456</v>
      </c>
      <c r="B459" s="266">
        <f t="shared" si="19"/>
        <v>0</v>
      </c>
      <c r="C459" s="260">
        <f t="shared" si="21"/>
        <v>456</v>
      </c>
    </row>
    <row r="460" spans="1:3">
      <c r="A460" s="260">
        <f t="shared" si="20"/>
        <v>457</v>
      </c>
      <c r="B460" s="266">
        <f t="shared" si="19"/>
        <v>0</v>
      </c>
      <c r="C460" s="260">
        <f t="shared" si="21"/>
        <v>457</v>
      </c>
    </row>
    <row r="461" spans="1:3">
      <c r="A461" s="260">
        <f t="shared" si="20"/>
        <v>458</v>
      </c>
      <c r="B461" s="266">
        <f t="shared" si="19"/>
        <v>0</v>
      </c>
      <c r="C461" s="260">
        <f t="shared" si="21"/>
        <v>458</v>
      </c>
    </row>
    <row r="462" spans="1:3">
      <c r="A462" s="260">
        <f t="shared" si="20"/>
        <v>459</v>
      </c>
      <c r="B462" s="266">
        <f t="shared" si="19"/>
        <v>0</v>
      </c>
      <c r="C462" s="260">
        <f t="shared" si="21"/>
        <v>459</v>
      </c>
    </row>
    <row r="463" spans="1:3">
      <c r="A463" s="260">
        <f t="shared" si="20"/>
        <v>460</v>
      </c>
      <c r="B463" s="266">
        <f t="shared" si="19"/>
        <v>0</v>
      </c>
      <c r="C463" s="260">
        <f t="shared" si="21"/>
        <v>460</v>
      </c>
    </row>
    <row r="464" spans="1:3">
      <c r="A464" s="260">
        <f t="shared" si="20"/>
        <v>461</v>
      </c>
      <c r="B464" s="266">
        <f t="shared" si="19"/>
        <v>0</v>
      </c>
      <c r="C464" s="260">
        <f t="shared" si="21"/>
        <v>461</v>
      </c>
    </row>
    <row r="465" spans="1:3">
      <c r="A465" s="260">
        <f t="shared" si="20"/>
        <v>462</v>
      </c>
      <c r="B465" s="266">
        <f t="shared" si="19"/>
        <v>0</v>
      </c>
      <c r="C465" s="260">
        <f t="shared" si="21"/>
        <v>462</v>
      </c>
    </row>
    <row r="466" spans="1:3">
      <c r="A466" s="260">
        <f t="shared" si="20"/>
        <v>463</v>
      </c>
      <c r="B466" s="266">
        <f t="shared" si="19"/>
        <v>0</v>
      </c>
      <c r="C466" s="260">
        <f t="shared" si="21"/>
        <v>463</v>
      </c>
    </row>
    <row r="467" spans="1:3">
      <c r="A467" s="260">
        <f t="shared" si="20"/>
        <v>464</v>
      </c>
      <c r="B467" s="266">
        <f t="shared" si="19"/>
        <v>0</v>
      </c>
      <c r="C467" s="260">
        <f t="shared" si="21"/>
        <v>464</v>
      </c>
    </row>
    <row r="468" spans="1:3">
      <c r="A468" s="260">
        <f t="shared" si="20"/>
        <v>465</v>
      </c>
      <c r="B468" s="266">
        <f t="shared" si="19"/>
        <v>0</v>
      </c>
      <c r="C468" s="260">
        <f t="shared" si="21"/>
        <v>465</v>
      </c>
    </row>
    <row r="469" spans="1:3">
      <c r="A469" s="260">
        <f t="shared" si="20"/>
        <v>466</v>
      </c>
      <c r="B469" s="266">
        <f t="shared" si="19"/>
        <v>0</v>
      </c>
      <c r="C469" s="260">
        <f t="shared" si="21"/>
        <v>466</v>
      </c>
    </row>
    <row r="470" spans="1:3">
      <c r="A470" s="260">
        <f t="shared" si="20"/>
        <v>467</v>
      </c>
      <c r="B470" s="266">
        <f t="shared" si="19"/>
        <v>0</v>
      </c>
      <c r="C470" s="260">
        <f t="shared" si="21"/>
        <v>467</v>
      </c>
    </row>
    <row r="471" spans="1:3">
      <c r="A471" s="260">
        <f t="shared" si="20"/>
        <v>468</v>
      </c>
      <c r="B471" s="266">
        <f t="shared" si="19"/>
        <v>0</v>
      </c>
      <c r="C471" s="260">
        <f t="shared" si="21"/>
        <v>468</v>
      </c>
    </row>
    <row r="472" spans="1:3">
      <c r="A472" s="260">
        <f t="shared" si="20"/>
        <v>469</v>
      </c>
      <c r="B472" s="266">
        <f t="shared" si="19"/>
        <v>0</v>
      </c>
      <c r="C472" s="260">
        <f t="shared" si="21"/>
        <v>469</v>
      </c>
    </row>
    <row r="473" spans="1:3">
      <c r="A473" s="260">
        <f t="shared" si="20"/>
        <v>470</v>
      </c>
      <c r="B473" s="266">
        <f t="shared" si="19"/>
        <v>0</v>
      </c>
      <c r="C473" s="260">
        <f t="shared" si="21"/>
        <v>470</v>
      </c>
    </row>
    <row r="474" spans="1:3">
      <c r="A474" s="260">
        <f t="shared" si="20"/>
        <v>471</v>
      </c>
      <c r="B474" s="266">
        <f t="shared" si="19"/>
        <v>0</v>
      </c>
      <c r="C474" s="260">
        <f t="shared" si="21"/>
        <v>471</v>
      </c>
    </row>
    <row r="475" spans="1:3">
      <c r="A475" s="260">
        <f t="shared" si="20"/>
        <v>472</v>
      </c>
      <c r="B475" s="266">
        <f t="shared" si="19"/>
        <v>0</v>
      </c>
      <c r="C475" s="260">
        <f t="shared" si="21"/>
        <v>472</v>
      </c>
    </row>
    <row r="476" spans="1:3">
      <c r="A476" s="260">
        <f t="shared" si="20"/>
        <v>473</v>
      </c>
      <c r="B476" s="266">
        <f t="shared" si="19"/>
        <v>0</v>
      </c>
      <c r="C476" s="260">
        <f t="shared" si="21"/>
        <v>473</v>
      </c>
    </row>
    <row r="477" spans="1:3">
      <c r="A477" s="260">
        <f t="shared" si="20"/>
        <v>474</v>
      </c>
      <c r="B477" s="266">
        <f t="shared" si="19"/>
        <v>0</v>
      </c>
      <c r="C477" s="260">
        <f t="shared" si="21"/>
        <v>474</v>
      </c>
    </row>
    <row r="478" spans="1:3">
      <c r="A478" s="260">
        <f t="shared" si="20"/>
        <v>475</v>
      </c>
      <c r="B478" s="266">
        <f t="shared" si="19"/>
        <v>0</v>
      </c>
      <c r="C478" s="260">
        <f t="shared" si="21"/>
        <v>475</v>
      </c>
    </row>
    <row r="479" spans="1:3">
      <c r="A479" s="260">
        <f t="shared" si="20"/>
        <v>476</v>
      </c>
      <c r="B479" s="266">
        <f t="shared" si="19"/>
        <v>0</v>
      </c>
      <c r="C479" s="260">
        <f t="shared" si="21"/>
        <v>476</v>
      </c>
    </row>
    <row r="480" spans="1:3">
      <c r="A480" s="260">
        <f t="shared" si="20"/>
        <v>477</v>
      </c>
      <c r="B480" s="266">
        <f t="shared" si="19"/>
        <v>0</v>
      </c>
      <c r="C480" s="260">
        <f t="shared" si="21"/>
        <v>477</v>
      </c>
    </row>
    <row r="481" spans="1:3">
      <c r="A481" s="260">
        <f t="shared" si="20"/>
        <v>478</v>
      </c>
      <c r="B481" s="266">
        <f t="shared" si="19"/>
        <v>0</v>
      </c>
      <c r="C481" s="260">
        <f t="shared" si="21"/>
        <v>478</v>
      </c>
    </row>
    <row r="482" spans="1:3">
      <c r="A482" s="260">
        <f t="shared" si="20"/>
        <v>479</v>
      </c>
      <c r="B482" s="266">
        <f t="shared" si="19"/>
        <v>0</v>
      </c>
      <c r="C482" s="260">
        <f t="shared" si="21"/>
        <v>479</v>
      </c>
    </row>
    <row r="483" spans="1:3">
      <c r="A483" s="260">
        <f t="shared" si="20"/>
        <v>480</v>
      </c>
      <c r="B483" s="266">
        <f t="shared" si="19"/>
        <v>0</v>
      </c>
      <c r="C483" s="260">
        <f t="shared" si="21"/>
        <v>480</v>
      </c>
    </row>
    <row r="484" spans="1:3">
      <c r="A484" s="260">
        <f t="shared" si="20"/>
        <v>481</v>
      </c>
      <c r="B484" s="266">
        <f t="shared" si="19"/>
        <v>0</v>
      </c>
      <c r="C484" s="260">
        <f t="shared" si="21"/>
        <v>481</v>
      </c>
    </row>
    <row r="485" spans="1:3">
      <c r="A485" s="260">
        <f t="shared" si="20"/>
        <v>482</v>
      </c>
      <c r="B485" s="266">
        <f t="shared" si="19"/>
        <v>0</v>
      </c>
      <c r="C485" s="260">
        <f t="shared" si="21"/>
        <v>482</v>
      </c>
    </row>
    <row r="486" spans="1:3">
      <c r="A486" s="260">
        <f t="shared" si="20"/>
        <v>483</v>
      </c>
      <c r="B486" s="266">
        <f t="shared" si="19"/>
        <v>0</v>
      </c>
      <c r="C486" s="260">
        <f t="shared" si="21"/>
        <v>483</v>
      </c>
    </row>
    <row r="487" spans="1:3">
      <c r="A487" s="260">
        <f t="shared" si="20"/>
        <v>484</v>
      </c>
      <c r="B487" s="266">
        <f t="shared" si="19"/>
        <v>0</v>
      </c>
      <c r="C487" s="260">
        <f t="shared" si="21"/>
        <v>484</v>
      </c>
    </row>
    <row r="488" spans="1:3">
      <c r="A488" s="260">
        <f t="shared" si="20"/>
        <v>485</v>
      </c>
      <c r="B488" s="266">
        <f t="shared" si="19"/>
        <v>0</v>
      </c>
      <c r="C488" s="260">
        <f t="shared" si="21"/>
        <v>485</v>
      </c>
    </row>
    <row r="489" spans="1:3">
      <c r="A489" s="260">
        <f t="shared" si="20"/>
        <v>486</v>
      </c>
      <c r="B489" s="266">
        <f t="shared" si="19"/>
        <v>0</v>
      </c>
      <c r="C489" s="260">
        <f t="shared" si="21"/>
        <v>486</v>
      </c>
    </row>
    <row r="490" spans="1:3">
      <c r="A490" s="260">
        <f t="shared" si="20"/>
        <v>487</v>
      </c>
      <c r="B490" s="266">
        <f t="shared" si="19"/>
        <v>0</v>
      </c>
      <c r="C490" s="260">
        <f t="shared" si="21"/>
        <v>487</v>
      </c>
    </row>
    <row r="491" spans="1:3">
      <c r="A491" s="260">
        <f t="shared" si="20"/>
        <v>488</v>
      </c>
      <c r="B491" s="266">
        <f t="shared" si="19"/>
        <v>0</v>
      </c>
      <c r="C491" s="260">
        <f t="shared" si="21"/>
        <v>488</v>
      </c>
    </row>
    <row r="492" spans="1:3">
      <c r="A492" s="260">
        <f t="shared" si="20"/>
        <v>489</v>
      </c>
      <c r="B492" s="266">
        <f t="shared" ref="B492:B555" si="22">VLOOKUP(A492,$C$4:$V$10001,1+$A$1)</f>
        <v>0</v>
      </c>
      <c r="C492" s="260">
        <f t="shared" si="21"/>
        <v>489</v>
      </c>
    </row>
    <row r="493" spans="1:3">
      <c r="A493" s="260">
        <f t="shared" si="20"/>
        <v>490</v>
      </c>
      <c r="B493" s="266">
        <f t="shared" si="22"/>
        <v>0</v>
      </c>
      <c r="C493" s="260">
        <f t="shared" si="21"/>
        <v>490</v>
      </c>
    </row>
    <row r="494" spans="1:3">
      <c r="A494" s="260">
        <f t="shared" si="20"/>
        <v>491</v>
      </c>
      <c r="B494" s="266">
        <f t="shared" si="22"/>
        <v>0</v>
      </c>
      <c r="C494" s="260">
        <f t="shared" si="21"/>
        <v>491</v>
      </c>
    </row>
    <row r="495" spans="1:3">
      <c r="A495" s="260">
        <f t="shared" si="20"/>
        <v>492</v>
      </c>
      <c r="B495" s="266">
        <f t="shared" si="22"/>
        <v>0</v>
      </c>
      <c r="C495" s="260">
        <f t="shared" si="21"/>
        <v>492</v>
      </c>
    </row>
    <row r="496" spans="1:3">
      <c r="A496" s="260">
        <f t="shared" si="20"/>
        <v>493</v>
      </c>
      <c r="B496" s="266">
        <f t="shared" si="22"/>
        <v>0</v>
      </c>
      <c r="C496" s="260">
        <f t="shared" si="21"/>
        <v>493</v>
      </c>
    </row>
    <row r="497" spans="1:3">
      <c r="A497" s="260">
        <f t="shared" si="20"/>
        <v>494</v>
      </c>
      <c r="B497" s="266">
        <f t="shared" si="22"/>
        <v>0</v>
      </c>
      <c r="C497" s="260">
        <f t="shared" si="21"/>
        <v>494</v>
      </c>
    </row>
    <row r="498" spans="1:3">
      <c r="A498" s="260">
        <f t="shared" si="20"/>
        <v>495</v>
      </c>
      <c r="B498" s="266">
        <f t="shared" si="22"/>
        <v>0</v>
      </c>
      <c r="C498" s="260">
        <f t="shared" si="21"/>
        <v>495</v>
      </c>
    </row>
    <row r="499" spans="1:3">
      <c r="A499" s="260">
        <f t="shared" si="20"/>
        <v>496</v>
      </c>
      <c r="B499" s="266">
        <f t="shared" si="22"/>
        <v>0</v>
      </c>
      <c r="C499" s="260">
        <f t="shared" si="21"/>
        <v>496</v>
      </c>
    </row>
    <row r="500" spans="1:3">
      <c r="A500" s="260">
        <f t="shared" si="20"/>
        <v>497</v>
      </c>
      <c r="B500" s="266">
        <f t="shared" si="22"/>
        <v>0</v>
      </c>
      <c r="C500" s="260">
        <f t="shared" si="21"/>
        <v>497</v>
      </c>
    </row>
    <row r="501" spans="1:3">
      <c r="A501" s="260">
        <f t="shared" si="20"/>
        <v>498</v>
      </c>
      <c r="B501" s="266">
        <f t="shared" si="22"/>
        <v>0</v>
      </c>
      <c r="C501" s="260">
        <f t="shared" si="21"/>
        <v>498</v>
      </c>
    </row>
    <row r="502" spans="1:3">
      <c r="A502" s="260">
        <f t="shared" si="20"/>
        <v>499</v>
      </c>
      <c r="B502" s="266">
        <f t="shared" si="22"/>
        <v>0</v>
      </c>
      <c r="C502" s="260">
        <f t="shared" si="21"/>
        <v>499</v>
      </c>
    </row>
    <row r="503" spans="1:3">
      <c r="A503" s="260">
        <f t="shared" si="20"/>
        <v>500</v>
      </c>
      <c r="B503" s="266">
        <f t="shared" si="22"/>
        <v>0</v>
      </c>
      <c r="C503" s="260">
        <f t="shared" si="21"/>
        <v>500</v>
      </c>
    </row>
    <row r="504" spans="1:3">
      <c r="A504" s="260">
        <f t="shared" si="20"/>
        <v>501</v>
      </c>
      <c r="B504" s="266">
        <f t="shared" si="22"/>
        <v>0</v>
      </c>
      <c r="C504" s="260">
        <f t="shared" si="21"/>
        <v>501</v>
      </c>
    </row>
    <row r="505" spans="1:3">
      <c r="A505" s="260">
        <f t="shared" si="20"/>
        <v>502</v>
      </c>
      <c r="B505" s="266">
        <f t="shared" si="22"/>
        <v>0</v>
      </c>
      <c r="C505" s="260">
        <f t="shared" si="21"/>
        <v>502</v>
      </c>
    </row>
    <row r="506" spans="1:3">
      <c r="A506" s="260">
        <f t="shared" si="20"/>
        <v>503</v>
      </c>
      <c r="B506" s="266">
        <f t="shared" si="22"/>
        <v>0</v>
      </c>
      <c r="C506" s="260">
        <f t="shared" si="21"/>
        <v>503</v>
      </c>
    </row>
    <row r="507" spans="1:3">
      <c r="A507" s="260">
        <f t="shared" si="20"/>
        <v>504</v>
      </c>
      <c r="B507" s="266">
        <f t="shared" si="22"/>
        <v>0</v>
      </c>
      <c r="C507" s="260">
        <f t="shared" si="21"/>
        <v>504</v>
      </c>
    </row>
    <row r="508" spans="1:3">
      <c r="A508" s="260">
        <f t="shared" si="20"/>
        <v>505</v>
      </c>
      <c r="B508" s="266">
        <f t="shared" si="22"/>
        <v>0</v>
      </c>
      <c r="C508" s="260">
        <f t="shared" si="21"/>
        <v>505</v>
      </c>
    </row>
    <row r="509" spans="1:3">
      <c r="A509" s="260">
        <f t="shared" si="20"/>
        <v>506</v>
      </c>
      <c r="B509" s="266">
        <f t="shared" si="22"/>
        <v>0</v>
      </c>
      <c r="C509" s="260">
        <f t="shared" si="21"/>
        <v>506</v>
      </c>
    </row>
    <row r="510" spans="1:3">
      <c r="A510" s="260">
        <f t="shared" si="20"/>
        <v>507</v>
      </c>
      <c r="B510" s="266">
        <f t="shared" si="22"/>
        <v>0</v>
      </c>
      <c r="C510" s="260">
        <f t="shared" si="21"/>
        <v>507</v>
      </c>
    </row>
    <row r="511" spans="1:3">
      <c r="A511" s="260">
        <f t="shared" si="20"/>
        <v>508</v>
      </c>
      <c r="B511" s="266">
        <f t="shared" si="22"/>
        <v>0</v>
      </c>
      <c r="C511" s="260">
        <f t="shared" si="21"/>
        <v>508</v>
      </c>
    </row>
    <row r="512" spans="1:3">
      <c r="A512" s="260">
        <f t="shared" si="20"/>
        <v>509</v>
      </c>
      <c r="B512" s="266">
        <f t="shared" si="22"/>
        <v>0</v>
      </c>
      <c r="C512" s="260">
        <f t="shared" si="21"/>
        <v>509</v>
      </c>
    </row>
    <row r="513" spans="1:3">
      <c r="A513" s="260">
        <f t="shared" si="20"/>
        <v>510</v>
      </c>
      <c r="B513" s="266">
        <f t="shared" si="22"/>
        <v>0</v>
      </c>
      <c r="C513" s="260">
        <f t="shared" si="21"/>
        <v>510</v>
      </c>
    </row>
    <row r="514" spans="1:3">
      <c r="A514" s="260">
        <f t="shared" si="20"/>
        <v>511</v>
      </c>
      <c r="B514" s="266">
        <f t="shared" si="22"/>
        <v>0</v>
      </c>
      <c r="C514" s="260">
        <f t="shared" si="21"/>
        <v>511</v>
      </c>
    </row>
    <row r="515" spans="1:3">
      <c r="A515" s="260">
        <f t="shared" si="20"/>
        <v>512</v>
      </c>
      <c r="B515" s="266">
        <f t="shared" si="22"/>
        <v>0</v>
      </c>
      <c r="C515" s="260">
        <f t="shared" si="21"/>
        <v>512</v>
      </c>
    </row>
    <row r="516" spans="1:3">
      <c r="A516" s="260">
        <f t="shared" ref="A516:A579" si="23">C516</f>
        <v>513</v>
      </c>
      <c r="B516" s="266">
        <f t="shared" si="22"/>
        <v>0</v>
      </c>
      <c r="C516" s="260">
        <f t="shared" si="21"/>
        <v>513</v>
      </c>
    </row>
    <row r="517" spans="1:3">
      <c r="A517" s="260">
        <f t="shared" si="23"/>
        <v>514</v>
      </c>
      <c r="B517" s="266">
        <f t="shared" si="22"/>
        <v>0</v>
      </c>
      <c r="C517" s="260">
        <f t="shared" si="21"/>
        <v>514</v>
      </c>
    </row>
    <row r="518" spans="1:3">
      <c r="A518" s="260">
        <f t="shared" si="23"/>
        <v>515</v>
      </c>
      <c r="B518" s="266">
        <f t="shared" si="22"/>
        <v>0</v>
      </c>
      <c r="C518" s="260">
        <f t="shared" ref="C518:C581" si="24">+C517+1</f>
        <v>515</v>
      </c>
    </row>
    <row r="519" spans="1:3">
      <c r="A519" s="260">
        <f t="shared" si="23"/>
        <v>516</v>
      </c>
      <c r="B519" s="266">
        <f t="shared" si="22"/>
        <v>0</v>
      </c>
      <c r="C519" s="260">
        <f t="shared" si="24"/>
        <v>516</v>
      </c>
    </row>
    <row r="520" spans="1:3">
      <c r="A520" s="260">
        <f t="shared" si="23"/>
        <v>517</v>
      </c>
      <c r="B520" s="266">
        <f t="shared" si="22"/>
        <v>0</v>
      </c>
      <c r="C520" s="260">
        <f t="shared" si="24"/>
        <v>517</v>
      </c>
    </row>
    <row r="521" spans="1:3">
      <c r="A521" s="260">
        <f t="shared" si="23"/>
        <v>518</v>
      </c>
      <c r="B521" s="266">
        <f t="shared" si="22"/>
        <v>0</v>
      </c>
      <c r="C521" s="260">
        <f t="shared" si="24"/>
        <v>518</v>
      </c>
    </row>
    <row r="522" spans="1:3">
      <c r="A522" s="260">
        <f t="shared" si="23"/>
        <v>519</v>
      </c>
      <c r="B522" s="266">
        <f t="shared" si="22"/>
        <v>0</v>
      </c>
      <c r="C522" s="260">
        <f t="shared" si="24"/>
        <v>519</v>
      </c>
    </row>
    <row r="523" spans="1:3">
      <c r="A523" s="260">
        <f t="shared" si="23"/>
        <v>520</v>
      </c>
      <c r="B523" s="266">
        <f t="shared" si="22"/>
        <v>0</v>
      </c>
      <c r="C523" s="260">
        <f t="shared" si="24"/>
        <v>520</v>
      </c>
    </row>
    <row r="524" spans="1:3">
      <c r="A524" s="260">
        <f t="shared" si="23"/>
        <v>521</v>
      </c>
      <c r="B524" s="266">
        <f t="shared" si="22"/>
        <v>0</v>
      </c>
      <c r="C524" s="260">
        <f t="shared" si="24"/>
        <v>521</v>
      </c>
    </row>
    <row r="525" spans="1:3">
      <c r="A525" s="260">
        <f t="shared" si="23"/>
        <v>522</v>
      </c>
      <c r="B525" s="266">
        <f t="shared" si="22"/>
        <v>0</v>
      </c>
      <c r="C525" s="260">
        <f t="shared" si="24"/>
        <v>522</v>
      </c>
    </row>
    <row r="526" spans="1:3">
      <c r="A526" s="260">
        <f t="shared" si="23"/>
        <v>523</v>
      </c>
      <c r="B526" s="266">
        <f t="shared" si="22"/>
        <v>0</v>
      </c>
      <c r="C526" s="260">
        <f t="shared" si="24"/>
        <v>523</v>
      </c>
    </row>
    <row r="527" spans="1:3">
      <c r="A527" s="260">
        <f t="shared" si="23"/>
        <v>524</v>
      </c>
      <c r="B527" s="266">
        <f t="shared" si="22"/>
        <v>0</v>
      </c>
      <c r="C527" s="260">
        <f t="shared" si="24"/>
        <v>524</v>
      </c>
    </row>
    <row r="528" spans="1:3">
      <c r="A528" s="260">
        <f t="shared" si="23"/>
        <v>525</v>
      </c>
      <c r="B528" s="266">
        <f t="shared" si="22"/>
        <v>0</v>
      </c>
      <c r="C528" s="260">
        <f t="shared" si="24"/>
        <v>525</v>
      </c>
    </row>
    <row r="529" spans="1:3">
      <c r="A529" s="260">
        <f t="shared" si="23"/>
        <v>526</v>
      </c>
      <c r="B529" s="266">
        <f t="shared" si="22"/>
        <v>0</v>
      </c>
      <c r="C529" s="260">
        <f t="shared" si="24"/>
        <v>526</v>
      </c>
    </row>
    <row r="530" spans="1:3">
      <c r="A530" s="260">
        <f t="shared" si="23"/>
        <v>527</v>
      </c>
      <c r="B530" s="266">
        <f t="shared" si="22"/>
        <v>0</v>
      </c>
      <c r="C530" s="260">
        <f t="shared" si="24"/>
        <v>527</v>
      </c>
    </row>
    <row r="531" spans="1:3">
      <c r="A531" s="260">
        <f t="shared" si="23"/>
        <v>528</v>
      </c>
      <c r="B531" s="266">
        <f t="shared" si="22"/>
        <v>0</v>
      </c>
      <c r="C531" s="260">
        <f t="shared" si="24"/>
        <v>528</v>
      </c>
    </row>
    <row r="532" spans="1:3">
      <c r="A532" s="260">
        <f t="shared" si="23"/>
        <v>529</v>
      </c>
      <c r="B532" s="266">
        <f t="shared" si="22"/>
        <v>0</v>
      </c>
      <c r="C532" s="260">
        <f t="shared" si="24"/>
        <v>529</v>
      </c>
    </row>
    <row r="533" spans="1:3">
      <c r="A533" s="260">
        <f t="shared" si="23"/>
        <v>530</v>
      </c>
      <c r="B533" s="266">
        <f t="shared" si="22"/>
        <v>0</v>
      </c>
      <c r="C533" s="260">
        <f t="shared" si="24"/>
        <v>530</v>
      </c>
    </row>
    <row r="534" spans="1:3">
      <c r="A534" s="260">
        <f t="shared" si="23"/>
        <v>531</v>
      </c>
      <c r="B534" s="266">
        <f t="shared" si="22"/>
        <v>0</v>
      </c>
      <c r="C534" s="260">
        <f t="shared" si="24"/>
        <v>531</v>
      </c>
    </row>
    <row r="535" spans="1:3">
      <c r="A535" s="260">
        <f t="shared" si="23"/>
        <v>532</v>
      </c>
      <c r="B535" s="266">
        <f t="shared" si="22"/>
        <v>0</v>
      </c>
      <c r="C535" s="260">
        <f t="shared" si="24"/>
        <v>532</v>
      </c>
    </row>
    <row r="536" spans="1:3">
      <c r="A536" s="260">
        <f t="shared" si="23"/>
        <v>533</v>
      </c>
      <c r="B536" s="266">
        <f t="shared" si="22"/>
        <v>0</v>
      </c>
      <c r="C536" s="260">
        <f t="shared" si="24"/>
        <v>533</v>
      </c>
    </row>
    <row r="537" spans="1:3">
      <c r="A537" s="260">
        <f t="shared" si="23"/>
        <v>534</v>
      </c>
      <c r="B537" s="266">
        <f t="shared" si="22"/>
        <v>0</v>
      </c>
      <c r="C537" s="260">
        <f t="shared" si="24"/>
        <v>534</v>
      </c>
    </row>
    <row r="538" spans="1:3">
      <c r="A538" s="260">
        <f t="shared" si="23"/>
        <v>535</v>
      </c>
      <c r="B538" s="266">
        <f t="shared" si="22"/>
        <v>0</v>
      </c>
      <c r="C538" s="260">
        <f t="shared" si="24"/>
        <v>535</v>
      </c>
    </row>
    <row r="539" spans="1:3">
      <c r="A539" s="260">
        <f t="shared" si="23"/>
        <v>536</v>
      </c>
      <c r="B539" s="266">
        <f t="shared" si="22"/>
        <v>0</v>
      </c>
      <c r="C539" s="260">
        <f t="shared" si="24"/>
        <v>536</v>
      </c>
    </row>
    <row r="540" spans="1:3">
      <c r="A540" s="260">
        <f t="shared" si="23"/>
        <v>537</v>
      </c>
      <c r="B540" s="266">
        <f t="shared" si="22"/>
        <v>0</v>
      </c>
      <c r="C540" s="260">
        <f t="shared" si="24"/>
        <v>537</v>
      </c>
    </row>
    <row r="541" spans="1:3">
      <c r="A541" s="260">
        <f t="shared" si="23"/>
        <v>538</v>
      </c>
      <c r="B541" s="266">
        <f t="shared" si="22"/>
        <v>0</v>
      </c>
      <c r="C541" s="260">
        <f t="shared" si="24"/>
        <v>538</v>
      </c>
    </row>
    <row r="542" spans="1:3">
      <c r="A542" s="260">
        <f t="shared" si="23"/>
        <v>539</v>
      </c>
      <c r="B542" s="266">
        <f t="shared" si="22"/>
        <v>0</v>
      </c>
      <c r="C542" s="260">
        <f t="shared" si="24"/>
        <v>539</v>
      </c>
    </row>
    <row r="543" spans="1:3">
      <c r="A543" s="260">
        <f t="shared" si="23"/>
        <v>540</v>
      </c>
      <c r="B543" s="266">
        <f t="shared" si="22"/>
        <v>0</v>
      </c>
      <c r="C543" s="260">
        <f t="shared" si="24"/>
        <v>540</v>
      </c>
    </row>
    <row r="544" spans="1:3">
      <c r="A544" s="260">
        <f t="shared" si="23"/>
        <v>541</v>
      </c>
      <c r="B544" s="266">
        <f t="shared" si="22"/>
        <v>0</v>
      </c>
      <c r="C544" s="260">
        <f t="shared" si="24"/>
        <v>541</v>
      </c>
    </row>
    <row r="545" spans="1:3">
      <c r="A545" s="260">
        <f t="shared" si="23"/>
        <v>542</v>
      </c>
      <c r="B545" s="266">
        <f t="shared" si="22"/>
        <v>0</v>
      </c>
      <c r="C545" s="260">
        <f t="shared" si="24"/>
        <v>542</v>
      </c>
    </row>
    <row r="546" spans="1:3">
      <c r="A546" s="260">
        <f t="shared" si="23"/>
        <v>543</v>
      </c>
      <c r="B546" s="266">
        <f t="shared" si="22"/>
        <v>0</v>
      </c>
      <c r="C546" s="260">
        <f t="shared" si="24"/>
        <v>543</v>
      </c>
    </row>
    <row r="547" spans="1:3">
      <c r="A547" s="260">
        <f t="shared" si="23"/>
        <v>544</v>
      </c>
      <c r="B547" s="266">
        <f t="shared" si="22"/>
        <v>0</v>
      </c>
      <c r="C547" s="260">
        <f t="shared" si="24"/>
        <v>544</v>
      </c>
    </row>
    <row r="548" spans="1:3">
      <c r="A548" s="260">
        <f t="shared" si="23"/>
        <v>545</v>
      </c>
      <c r="B548" s="266">
        <f t="shared" si="22"/>
        <v>0</v>
      </c>
      <c r="C548" s="260">
        <f t="shared" si="24"/>
        <v>545</v>
      </c>
    </row>
    <row r="549" spans="1:3">
      <c r="A549" s="260">
        <f t="shared" si="23"/>
        <v>546</v>
      </c>
      <c r="B549" s="266">
        <f t="shared" si="22"/>
        <v>0</v>
      </c>
      <c r="C549" s="260">
        <f t="shared" si="24"/>
        <v>546</v>
      </c>
    </row>
    <row r="550" spans="1:3">
      <c r="A550" s="260">
        <f t="shared" si="23"/>
        <v>547</v>
      </c>
      <c r="B550" s="266">
        <f t="shared" si="22"/>
        <v>0</v>
      </c>
      <c r="C550" s="260">
        <f t="shared" si="24"/>
        <v>547</v>
      </c>
    </row>
    <row r="551" spans="1:3">
      <c r="A551" s="260">
        <f t="shared" si="23"/>
        <v>548</v>
      </c>
      <c r="B551" s="266">
        <f t="shared" si="22"/>
        <v>0</v>
      </c>
      <c r="C551" s="260">
        <f t="shared" si="24"/>
        <v>548</v>
      </c>
    </row>
    <row r="552" spans="1:3">
      <c r="A552" s="260">
        <f t="shared" si="23"/>
        <v>549</v>
      </c>
      <c r="B552" s="266">
        <f t="shared" si="22"/>
        <v>0</v>
      </c>
      <c r="C552" s="260">
        <f t="shared" si="24"/>
        <v>549</v>
      </c>
    </row>
    <row r="553" spans="1:3">
      <c r="A553" s="260">
        <f t="shared" si="23"/>
        <v>550</v>
      </c>
      <c r="B553" s="266">
        <f t="shared" si="22"/>
        <v>0</v>
      </c>
      <c r="C553" s="260">
        <f t="shared" si="24"/>
        <v>550</v>
      </c>
    </row>
    <row r="554" spans="1:3">
      <c r="A554" s="260">
        <f t="shared" si="23"/>
        <v>551</v>
      </c>
      <c r="B554" s="266">
        <f t="shared" si="22"/>
        <v>0</v>
      </c>
      <c r="C554" s="260">
        <f t="shared" si="24"/>
        <v>551</v>
      </c>
    </row>
    <row r="555" spans="1:3">
      <c r="A555" s="260">
        <f t="shared" si="23"/>
        <v>552</v>
      </c>
      <c r="B555" s="266">
        <f t="shared" si="22"/>
        <v>0</v>
      </c>
      <c r="C555" s="260">
        <f t="shared" si="24"/>
        <v>552</v>
      </c>
    </row>
    <row r="556" spans="1:3">
      <c r="A556" s="260">
        <f t="shared" si="23"/>
        <v>553</v>
      </c>
      <c r="B556" s="266">
        <f t="shared" ref="B556:B597" si="25">VLOOKUP(A556,$C$4:$V$10001,1+$A$1)</f>
        <v>0</v>
      </c>
      <c r="C556" s="260">
        <f t="shared" si="24"/>
        <v>553</v>
      </c>
    </row>
    <row r="557" spans="1:3">
      <c r="A557" s="260">
        <f t="shared" si="23"/>
        <v>554</v>
      </c>
      <c r="B557" s="266">
        <f t="shared" si="25"/>
        <v>0</v>
      </c>
      <c r="C557" s="260">
        <f t="shared" si="24"/>
        <v>554</v>
      </c>
    </row>
    <row r="558" spans="1:3">
      <c r="A558" s="260">
        <f t="shared" si="23"/>
        <v>555</v>
      </c>
      <c r="B558" s="266">
        <f t="shared" si="25"/>
        <v>0</v>
      </c>
      <c r="C558" s="260">
        <f t="shared" si="24"/>
        <v>555</v>
      </c>
    </row>
    <row r="559" spans="1:3">
      <c r="A559" s="260">
        <f t="shared" si="23"/>
        <v>556</v>
      </c>
      <c r="B559" s="266">
        <f t="shared" si="25"/>
        <v>0</v>
      </c>
      <c r="C559" s="260">
        <f t="shared" si="24"/>
        <v>556</v>
      </c>
    </row>
    <row r="560" spans="1:3">
      <c r="A560" s="260">
        <f t="shared" si="23"/>
        <v>557</v>
      </c>
      <c r="B560" s="266">
        <f t="shared" si="25"/>
        <v>0</v>
      </c>
      <c r="C560" s="260">
        <f t="shared" si="24"/>
        <v>557</v>
      </c>
    </row>
    <row r="561" spans="1:3">
      <c r="A561" s="260">
        <f t="shared" si="23"/>
        <v>558</v>
      </c>
      <c r="B561" s="266">
        <f t="shared" si="25"/>
        <v>0</v>
      </c>
      <c r="C561" s="260">
        <f t="shared" si="24"/>
        <v>558</v>
      </c>
    </row>
    <row r="562" spans="1:3">
      <c r="A562" s="260">
        <f t="shared" si="23"/>
        <v>559</v>
      </c>
      <c r="B562" s="266">
        <f t="shared" si="25"/>
        <v>0</v>
      </c>
      <c r="C562" s="260">
        <f t="shared" si="24"/>
        <v>559</v>
      </c>
    </row>
    <row r="563" spans="1:3">
      <c r="A563" s="260">
        <f t="shared" si="23"/>
        <v>560</v>
      </c>
      <c r="B563" s="266">
        <f t="shared" si="25"/>
        <v>0</v>
      </c>
      <c r="C563" s="260">
        <f t="shared" si="24"/>
        <v>560</v>
      </c>
    </row>
    <row r="564" spans="1:3">
      <c r="A564" s="260">
        <f t="shared" si="23"/>
        <v>561</v>
      </c>
      <c r="B564" s="266">
        <f t="shared" si="25"/>
        <v>0</v>
      </c>
      <c r="C564" s="260">
        <f t="shared" si="24"/>
        <v>561</v>
      </c>
    </row>
    <row r="565" spans="1:3">
      <c r="A565" s="260">
        <f t="shared" si="23"/>
        <v>562</v>
      </c>
      <c r="B565" s="266">
        <f t="shared" si="25"/>
        <v>0</v>
      </c>
      <c r="C565" s="260">
        <f t="shared" si="24"/>
        <v>562</v>
      </c>
    </row>
    <row r="566" spans="1:3">
      <c r="A566" s="260">
        <f t="shared" si="23"/>
        <v>563</v>
      </c>
      <c r="B566" s="266">
        <f t="shared" si="25"/>
        <v>0</v>
      </c>
      <c r="C566" s="260">
        <f t="shared" si="24"/>
        <v>563</v>
      </c>
    </row>
    <row r="567" spans="1:3">
      <c r="A567" s="260">
        <f t="shared" si="23"/>
        <v>564</v>
      </c>
      <c r="B567" s="266">
        <f t="shared" si="25"/>
        <v>0</v>
      </c>
      <c r="C567" s="260">
        <f t="shared" si="24"/>
        <v>564</v>
      </c>
    </row>
    <row r="568" spans="1:3">
      <c r="A568" s="260">
        <f t="shared" si="23"/>
        <v>565</v>
      </c>
      <c r="B568" s="266">
        <f t="shared" si="25"/>
        <v>0</v>
      </c>
      <c r="C568" s="260">
        <f t="shared" si="24"/>
        <v>565</v>
      </c>
    </row>
    <row r="569" spans="1:3">
      <c r="A569" s="260">
        <f t="shared" si="23"/>
        <v>566</v>
      </c>
      <c r="B569" s="266">
        <f t="shared" si="25"/>
        <v>0</v>
      </c>
      <c r="C569" s="260">
        <f t="shared" si="24"/>
        <v>566</v>
      </c>
    </row>
    <row r="570" spans="1:3">
      <c r="A570" s="260">
        <f t="shared" si="23"/>
        <v>567</v>
      </c>
      <c r="B570" s="266">
        <f t="shared" si="25"/>
        <v>0</v>
      </c>
      <c r="C570" s="260">
        <f t="shared" si="24"/>
        <v>567</v>
      </c>
    </row>
    <row r="571" spans="1:3">
      <c r="A571" s="260">
        <f t="shared" si="23"/>
        <v>568</v>
      </c>
      <c r="B571" s="266">
        <f t="shared" si="25"/>
        <v>0</v>
      </c>
      <c r="C571" s="260">
        <f t="shared" si="24"/>
        <v>568</v>
      </c>
    </row>
    <row r="572" spans="1:3">
      <c r="A572" s="260">
        <f t="shared" si="23"/>
        <v>569</v>
      </c>
      <c r="B572" s="266">
        <f t="shared" si="25"/>
        <v>0</v>
      </c>
      <c r="C572" s="260">
        <f t="shared" si="24"/>
        <v>569</v>
      </c>
    </row>
    <row r="573" spans="1:3">
      <c r="A573" s="260">
        <f t="shared" si="23"/>
        <v>570</v>
      </c>
      <c r="B573" s="266">
        <f t="shared" si="25"/>
        <v>0</v>
      </c>
      <c r="C573" s="260">
        <f t="shared" si="24"/>
        <v>570</v>
      </c>
    </row>
    <row r="574" spans="1:3">
      <c r="A574" s="260">
        <f t="shared" si="23"/>
        <v>571</v>
      </c>
      <c r="B574" s="266">
        <f t="shared" si="25"/>
        <v>0</v>
      </c>
      <c r="C574" s="260">
        <f t="shared" si="24"/>
        <v>571</v>
      </c>
    </row>
    <row r="575" spans="1:3">
      <c r="A575" s="260">
        <f t="shared" si="23"/>
        <v>572</v>
      </c>
      <c r="B575" s="266">
        <f t="shared" si="25"/>
        <v>0</v>
      </c>
      <c r="C575" s="260">
        <f t="shared" si="24"/>
        <v>572</v>
      </c>
    </row>
    <row r="576" spans="1:3">
      <c r="A576" s="260">
        <f t="shared" si="23"/>
        <v>573</v>
      </c>
      <c r="B576" s="266">
        <f t="shared" si="25"/>
        <v>0</v>
      </c>
      <c r="C576" s="260">
        <f t="shared" si="24"/>
        <v>573</v>
      </c>
    </row>
    <row r="577" spans="1:3">
      <c r="A577" s="260">
        <f t="shared" si="23"/>
        <v>574</v>
      </c>
      <c r="B577" s="266">
        <f t="shared" si="25"/>
        <v>0</v>
      </c>
      <c r="C577" s="260">
        <f t="shared" si="24"/>
        <v>574</v>
      </c>
    </row>
    <row r="578" spans="1:3">
      <c r="A578" s="260">
        <f t="shared" si="23"/>
        <v>575</v>
      </c>
      <c r="B578" s="266">
        <f t="shared" si="25"/>
        <v>0</v>
      </c>
      <c r="C578" s="260">
        <f t="shared" si="24"/>
        <v>575</v>
      </c>
    </row>
    <row r="579" spans="1:3">
      <c r="A579" s="260">
        <f t="shared" si="23"/>
        <v>576</v>
      </c>
      <c r="B579" s="266">
        <f t="shared" si="25"/>
        <v>0</v>
      </c>
      <c r="C579" s="260">
        <f t="shared" si="24"/>
        <v>576</v>
      </c>
    </row>
    <row r="580" spans="1:3">
      <c r="A580" s="260">
        <f t="shared" ref="A580:A585" si="26">C580</f>
        <v>577</v>
      </c>
      <c r="B580" s="266">
        <f t="shared" si="25"/>
        <v>0</v>
      </c>
      <c r="C580" s="260">
        <f t="shared" si="24"/>
        <v>577</v>
      </c>
    </row>
    <row r="581" spans="1:3">
      <c r="A581" s="260">
        <f t="shared" si="26"/>
        <v>578</v>
      </c>
      <c r="B581" s="260">
        <f t="shared" si="25"/>
        <v>0</v>
      </c>
      <c r="C581" s="260">
        <f t="shared" si="24"/>
        <v>578</v>
      </c>
    </row>
    <row r="582" spans="1:3">
      <c r="A582" s="260">
        <f t="shared" si="26"/>
        <v>579</v>
      </c>
      <c r="B582" s="260">
        <f t="shared" si="25"/>
        <v>0</v>
      </c>
      <c r="C582" s="260">
        <f t="shared" ref="C582:C585" si="27">+C581+1</f>
        <v>579</v>
      </c>
    </row>
    <row r="583" spans="1:3">
      <c r="A583" s="260">
        <f t="shared" si="26"/>
        <v>580</v>
      </c>
      <c r="B583" s="260">
        <f t="shared" si="25"/>
        <v>0</v>
      </c>
      <c r="C583" s="260">
        <f t="shared" si="27"/>
        <v>580</v>
      </c>
    </row>
    <row r="584" spans="1:3">
      <c r="A584" s="260">
        <f t="shared" si="26"/>
        <v>581</v>
      </c>
      <c r="B584" s="260">
        <f t="shared" si="25"/>
        <v>0</v>
      </c>
      <c r="C584" s="260">
        <f t="shared" si="27"/>
        <v>581</v>
      </c>
    </row>
    <row r="585" spans="1:3">
      <c r="A585" s="260">
        <f t="shared" si="26"/>
        <v>582</v>
      </c>
      <c r="B585" s="260">
        <f t="shared" si="25"/>
        <v>0</v>
      </c>
      <c r="C585" s="260">
        <f t="shared" si="27"/>
        <v>582</v>
      </c>
    </row>
    <row r="586" spans="1:3">
      <c r="B586" s="260" t="e">
        <f t="shared" si="25"/>
        <v>#N/A</v>
      </c>
    </row>
    <row r="587" spans="1:3">
      <c r="B587" s="260" t="e">
        <f t="shared" si="25"/>
        <v>#N/A</v>
      </c>
    </row>
    <row r="588" spans="1:3">
      <c r="B588" s="260" t="e">
        <f t="shared" si="25"/>
        <v>#N/A</v>
      </c>
    </row>
    <row r="589" spans="1:3">
      <c r="B589" s="260" t="e">
        <f t="shared" si="25"/>
        <v>#N/A</v>
      </c>
    </row>
    <row r="590" spans="1:3">
      <c r="B590" s="260" t="e">
        <f t="shared" si="25"/>
        <v>#N/A</v>
      </c>
    </row>
    <row r="591" spans="1:3">
      <c r="B591" s="260" t="e">
        <f t="shared" si="25"/>
        <v>#N/A</v>
      </c>
    </row>
    <row r="592" spans="1:3">
      <c r="B592" s="260" t="e">
        <f t="shared" si="25"/>
        <v>#N/A</v>
      </c>
    </row>
    <row r="593" spans="2:2">
      <c r="B593" s="260" t="e">
        <f t="shared" si="25"/>
        <v>#N/A</v>
      </c>
    </row>
    <row r="594" spans="2:2">
      <c r="B594" s="260" t="e">
        <f t="shared" si="25"/>
        <v>#N/A</v>
      </c>
    </row>
    <row r="595" spans="2:2">
      <c r="B595" s="260" t="e">
        <f t="shared" si="25"/>
        <v>#N/A</v>
      </c>
    </row>
    <row r="596" spans="2:2">
      <c r="B596" s="260" t="e">
        <f t="shared" si="25"/>
        <v>#N/A</v>
      </c>
    </row>
    <row r="597" spans="2:2">
      <c r="B597" s="260" t="e">
        <f t="shared" si="25"/>
        <v>#N/A</v>
      </c>
    </row>
  </sheetData>
  <sheetProtection algorithmName="SHA-512" hashValue="Ww0QM7qADWWVjbVMO75wzUfcBl40BSh5XdZvohgDKf5fAYkXKRU052QCi0qZD/xHTpKnK9FRjxFCvPao3kipag==" saltValue="KcUGNzQSuj4CnTZFC5xGfA==" spinCount="100000" sheet="1" objects="1" scenarios="1" formatRows="0" selectLockedCells="1"/>
  <pageMargins left="0.75" right="0.75" top="1" bottom="1" header="0.5" footer="0.5"/>
  <pageSetup paperSize="9" orientation="portrait" horizontalDpi="4294967292" verticalDpi="429496729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I614"/>
  <sheetViews>
    <sheetView workbookViewId="0">
      <pane xSplit="3" ySplit="3" topLeftCell="D55" activePane="bottomRight" state="frozenSplit"/>
      <selection activeCell="B17" sqref="B17"/>
      <selection pane="topRight" activeCell="B17" sqref="B17"/>
      <selection pane="bottomLeft" activeCell="B17" sqref="B17"/>
      <selection pane="bottomRight" activeCell="A57" sqref="A57"/>
    </sheetView>
  </sheetViews>
  <sheetFormatPr baseColWidth="10" defaultColWidth="10.86328125" defaultRowHeight="14.25"/>
  <cols>
    <col min="1" max="1" width="9.3984375" style="6" customWidth="1"/>
    <col min="2" max="2" width="51.86328125" style="6" customWidth="1"/>
    <col min="3" max="3" width="7.265625" style="6" customWidth="1"/>
    <col min="4" max="9" width="63" style="6" customWidth="1"/>
    <col min="10" max="16384" width="10.86328125" style="6"/>
  </cols>
  <sheetData>
    <row r="1" spans="1:9" ht="25.9" thickBot="1">
      <c r="A1" s="181">
        <f>'Languages Available'!B1</f>
        <v>1</v>
      </c>
      <c r="B1" s="195" t="s">
        <v>1349</v>
      </c>
      <c r="C1" s="196"/>
      <c r="D1" s="180" t="str">
        <f>'General Info'!E3</f>
        <v>English</v>
      </c>
    </row>
    <row r="2" spans="1:9">
      <c r="D2" s="6">
        <v>1</v>
      </c>
      <c r="E2" s="6">
        <v>2</v>
      </c>
      <c r="F2" s="6">
        <v>3</v>
      </c>
      <c r="G2" s="6">
        <v>4</v>
      </c>
      <c r="H2" s="6">
        <v>5</v>
      </c>
      <c r="I2" s="6">
        <v>6</v>
      </c>
    </row>
    <row r="3" spans="1:9" ht="21">
      <c r="B3" s="183" t="s">
        <v>1347</v>
      </c>
      <c r="C3" s="182"/>
      <c r="D3" s="194" t="str">
        <f>VLOOKUP(D2,'Languages Available'!$A$3:$B$23,2)</f>
        <v>English</v>
      </c>
      <c r="E3" s="194" t="str">
        <f>VLOOKUP(E2,'Languages Available'!$A$3:$B$23,2)</f>
        <v>Dutch</v>
      </c>
      <c r="F3" s="194" t="str">
        <f>VLOOKUP(F2,'Languages Available'!$A$3:$B$23,2)</f>
        <v>Français</v>
      </c>
      <c r="G3" s="194" t="str">
        <f>VLOOKUP(G2,'Languages Available'!$A$3:$B$23,2)</f>
        <v>Deutsch</v>
      </c>
      <c r="H3" s="194" t="str">
        <f>VLOOKUP(H2,'Languages Available'!$A$3:$B$23,2)</f>
        <v>Spanish</v>
      </c>
      <c r="I3" s="194" t="str">
        <f>VLOOKUP(I2,'Languages Available'!$A$3:$B$23,2)</f>
        <v>Portuguese</v>
      </c>
    </row>
    <row r="4" spans="1:9" ht="15.75">
      <c r="A4" s="347">
        <f t="shared" ref="A4:A20" si="0">C4</f>
        <v>1</v>
      </c>
      <c r="B4" s="348" t="str">
        <f t="shared" ref="B4:B67" si="1">IF(ISBLANK(VLOOKUP(A4,$C$4:$V$10002,1+$A$1)),D4,VLOOKUP(A4,$C$4:$V$10002,1+$A$1))</f>
        <v>Date</v>
      </c>
      <c r="C4" s="349">
        <v>1</v>
      </c>
      <c r="D4" s="348" t="s">
        <v>445</v>
      </c>
      <c r="E4" s="348" t="s">
        <v>542</v>
      </c>
      <c r="F4" s="348" t="s">
        <v>445</v>
      </c>
      <c r="G4" s="348" t="s">
        <v>542</v>
      </c>
      <c r="H4" s="348" t="s">
        <v>2285</v>
      </c>
      <c r="I4" s="350" t="s">
        <v>2650</v>
      </c>
    </row>
    <row r="5" spans="1:9" ht="15.75">
      <c r="A5" s="347">
        <f t="shared" si="0"/>
        <v>2</v>
      </c>
      <c r="B5" s="351" t="str">
        <f t="shared" si="1"/>
        <v>Language</v>
      </c>
      <c r="C5" s="349">
        <v>2</v>
      </c>
      <c r="D5" s="351" t="s">
        <v>442</v>
      </c>
      <c r="E5" s="351" t="s">
        <v>541</v>
      </c>
      <c r="F5" s="351" t="s">
        <v>905</v>
      </c>
      <c r="G5" s="351" t="s">
        <v>1732</v>
      </c>
      <c r="H5" s="351" t="s">
        <v>2284</v>
      </c>
      <c r="I5" s="292" t="s">
        <v>2651</v>
      </c>
    </row>
    <row r="6" spans="1:9" ht="15.75">
      <c r="A6" s="347">
        <f t="shared" si="0"/>
        <v>3</v>
      </c>
      <c r="B6" s="351" t="str">
        <f t="shared" si="1"/>
        <v>Country</v>
      </c>
      <c r="C6" s="349">
        <v>3</v>
      </c>
      <c r="D6" s="351" t="s">
        <v>440</v>
      </c>
      <c r="E6" s="351" t="s">
        <v>543</v>
      </c>
      <c r="F6" s="351" t="s">
        <v>906</v>
      </c>
      <c r="G6" s="351" t="s">
        <v>543</v>
      </c>
      <c r="H6" s="351" t="s">
        <v>2283</v>
      </c>
      <c r="I6" s="292" t="s">
        <v>2283</v>
      </c>
    </row>
    <row r="7" spans="1:9" ht="15.75">
      <c r="A7" s="347">
        <f t="shared" si="0"/>
        <v>4</v>
      </c>
      <c r="B7" s="351" t="str">
        <f t="shared" si="1"/>
        <v>Name of Car Park</v>
      </c>
      <c r="C7" s="349">
        <v>4</v>
      </c>
      <c r="D7" s="351" t="s">
        <v>441</v>
      </c>
      <c r="E7" s="351" t="s">
        <v>544</v>
      </c>
      <c r="F7" s="351" t="s">
        <v>907</v>
      </c>
      <c r="G7" s="351" t="s">
        <v>1733</v>
      </c>
      <c r="H7" s="351" t="s">
        <v>2282</v>
      </c>
      <c r="I7" s="292" t="s">
        <v>2708</v>
      </c>
    </row>
    <row r="8" spans="1:9" ht="15.75">
      <c r="A8" s="347">
        <f t="shared" si="0"/>
        <v>5</v>
      </c>
      <c r="B8" s="351" t="str">
        <f t="shared" si="1"/>
        <v>Address</v>
      </c>
      <c r="C8" s="349">
        <v>5</v>
      </c>
      <c r="D8" s="351" t="s">
        <v>444</v>
      </c>
      <c r="E8" s="351" t="s">
        <v>545</v>
      </c>
      <c r="F8" s="351" t="s">
        <v>908</v>
      </c>
      <c r="G8" s="351" t="s">
        <v>908</v>
      </c>
      <c r="H8" s="351" t="s">
        <v>2281</v>
      </c>
      <c r="I8" s="292" t="s">
        <v>2652</v>
      </c>
    </row>
    <row r="9" spans="1:9" ht="15.75">
      <c r="A9" s="347">
        <f t="shared" si="0"/>
        <v>6</v>
      </c>
      <c r="B9" s="351" t="str">
        <f t="shared" si="1"/>
        <v>City</v>
      </c>
      <c r="C9" s="349">
        <v>6</v>
      </c>
      <c r="D9" s="351" t="s">
        <v>0</v>
      </c>
      <c r="E9" s="351" t="s">
        <v>546</v>
      </c>
      <c r="F9" s="351" t="s">
        <v>909</v>
      </c>
      <c r="G9" s="351" t="s">
        <v>1734</v>
      </c>
      <c r="H9" s="351" t="s">
        <v>2280</v>
      </c>
      <c r="I9" s="292" t="s">
        <v>2653</v>
      </c>
    </row>
    <row r="10" spans="1:9" ht="15.75">
      <c r="A10" s="347">
        <f t="shared" si="0"/>
        <v>7</v>
      </c>
      <c r="B10" s="351" t="str">
        <f t="shared" si="1"/>
        <v>Number of Spaces</v>
      </c>
      <c r="C10" s="349">
        <v>7</v>
      </c>
      <c r="D10" s="351" t="s">
        <v>446</v>
      </c>
      <c r="E10" s="351" t="s">
        <v>547</v>
      </c>
      <c r="F10" s="351" t="s">
        <v>910</v>
      </c>
      <c r="G10" s="351" t="s">
        <v>1735</v>
      </c>
      <c r="H10" s="351" t="s">
        <v>2279</v>
      </c>
      <c r="I10" s="292" t="s">
        <v>2654</v>
      </c>
    </row>
    <row r="11" spans="1:9" ht="15.75">
      <c r="A11" s="347">
        <f t="shared" si="0"/>
        <v>8</v>
      </c>
      <c r="B11" s="351" t="str">
        <f t="shared" si="1"/>
        <v>Operator</v>
      </c>
      <c r="C11" s="349">
        <v>8</v>
      </c>
      <c r="D11" s="351" t="s">
        <v>447</v>
      </c>
      <c r="E11" s="351" t="s">
        <v>548</v>
      </c>
      <c r="F11" s="351" t="s">
        <v>548</v>
      </c>
      <c r="G11" s="351" t="s">
        <v>1736</v>
      </c>
      <c r="H11" s="351" t="s">
        <v>2278</v>
      </c>
      <c r="I11" s="292" t="s">
        <v>2278</v>
      </c>
    </row>
    <row r="12" spans="1:9" ht="15.75">
      <c r="A12" s="347">
        <f t="shared" si="0"/>
        <v>9</v>
      </c>
      <c r="B12" s="351" t="str">
        <f t="shared" si="1"/>
        <v>Contact Name</v>
      </c>
      <c r="C12" s="349">
        <v>9</v>
      </c>
      <c r="D12" s="351" t="s">
        <v>448</v>
      </c>
      <c r="E12" s="351" t="s">
        <v>549</v>
      </c>
      <c r="F12" s="351" t="s">
        <v>911</v>
      </c>
      <c r="G12" s="351" t="s">
        <v>1737</v>
      </c>
      <c r="H12" s="351" t="s">
        <v>2277</v>
      </c>
      <c r="I12" s="292" t="s">
        <v>2688</v>
      </c>
    </row>
    <row r="13" spans="1:9" ht="15.75">
      <c r="A13" s="347">
        <f t="shared" si="0"/>
        <v>10</v>
      </c>
      <c r="B13" s="351" t="str">
        <f t="shared" si="1"/>
        <v>e-Mail</v>
      </c>
      <c r="C13" s="349">
        <v>10</v>
      </c>
      <c r="D13" s="351" t="s">
        <v>449</v>
      </c>
      <c r="E13" s="351" t="s">
        <v>550</v>
      </c>
      <c r="F13" s="351" t="s">
        <v>550</v>
      </c>
      <c r="G13" s="351" t="s">
        <v>449</v>
      </c>
      <c r="H13" s="351" t="s">
        <v>2276</v>
      </c>
      <c r="I13" s="292" t="s">
        <v>2655</v>
      </c>
    </row>
    <row r="14" spans="1:9" ht="15.75">
      <c r="A14" s="347">
        <f t="shared" si="0"/>
        <v>11</v>
      </c>
      <c r="B14" s="351" t="str">
        <f t="shared" si="1"/>
        <v>Phone</v>
      </c>
      <c r="C14" s="349">
        <v>11</v>
      </c>
      <c r="D14" s="351" t="s">
        <v>450</v>
      </c>
      <c r="E14" s="351" t="s">
        <v>551</v>
      </c>
      <c r="F14" s="351" t="s">
        <v>913</v>
      </c>
      <c r="G14" s="351" t="s">
        <v>1738</v>
      </c>
      <c r="H14" s="351" t="s">
        <v>2275</v>
      </c>
      <c r="I14" s="292" t="s">
        <v>2656</v>
      </c>
    </row>
    <row r="15" spans="1:9" ht="15.75">
      <c r="A15" s="347">
        <f t="shared" si="0"/>
        <v>12</v>
      </c>
      <c r="B15" s="351" t="str">
        <f t="shared" si="1"/>
        <v>Judged by</v>
      </c>
      <c r="C15" s="349">
        <v>12</v>
      </c>
      <c r="D15" s="351" t="s">
        <v>451</v>
      </c>
      <c r="E15" s="351" t="s">
        <v>552</v>
      </c>
      <c r="F15" s="351" t="s">
        <v>914</v>
      </c>
      <c r="G15" s="351" t="s">
        <v>1739</v>
      </c>
      <c r="H15" s="351" t="s">
        <v>2274</v>
      </c>
      <c r="I15" s="292" t="s">
        <v>2657</v>
      </c>
    </row>
    <row r="16" spans="1:9" ht="15.75">
      <c r="A16" s="347">
        <f t="shared" si="0"/>
        <v>13</v>
      </c>
      <c r="B16" s="351" t="str">
        <f t="shared" si="1"/>
        <v>Evaluation Conditions</v>
      </c>
      <c r="C16" s="349">
        <v>13</v>
      </c>
      <c r="D16" s="351" t="s">
        <v>452</v>
      </c>
      <c r="E16" s="351" t="s">
        <v>553</v>
      </c>
      <c r="F16" s="351" t="s">
        <v>915</v>
      </c>
      <c r="G16" s="351" t="s">
        <v>1740</v>
      </c>
      <c r="H16" s="351" t="s">
        <v>2273</v>
      </c>
      <c r="I16" s="292" t="s">
        <v>2658</v>
      </c>
    </row>
    <row r="17" spans="1:9" ht="15.75">
      <c r="A17" s="347">
        <f t="shared" si="0"/>
        <v>14</v>
      </c>
      <c r="B17" s="351" t="str">
        <f t="shared" si="1"/>
        <v>Time of Day</v>
      </c>
      <c r="C17" s="349">
        <v>14</v>
      </c>
      <c r="D17" s="351" t="s">
        <v>453</v>
      </c>
      <c r="E17" s="351" t="s">
        <v>554</v>
      </c>
      <c r="F17" s="351" t="s">
        <v>916</v>
      </c>
      <c r="G17" s="351" t="s">
        <v>1741</v>
      </c>
      <c r="H17" s="351" t="s">
        <v>2272</v>
      </c>
      <c r="I17" s="292" t="s">
        <v>2689</v>
      </c>
    </row>
    <row r="18" spans="1:9" ht="15.75">
      <c r="A18" s="347">
        <f t="shared" si="0"/>
        <v>15</v>
      </c>
      <c r="B18" s="351" t="str">
        <f t="shared" si="1"/>
        <v>Weather Conditions</v>
      </c>
      <c r="C18" s="349">
        <v>15</v>
      </c>
      <c r="D18" s="351" t="s">
        <v>454</v>
      </c>
      <c r="E18" s="351" t="s">
        <v>555</v>
      </c>
      <c r="F18" s="351" t="s">
        <v>917</v>
      </c>
      <c r="G18" s="351" t="s">
        <v>1742</v>
      </c>
      <c r="H18" s="351" t="s">
        <v>2271</v>
      </c>
      <c r="I18" s="292" t="s">
        <v>2659</v>
      </c>
    </row>
    <row r="19" spans="1:9" ht="15.75">
      <c r="A19" s="347">
        <f t="shared" si="0"/>
        <v>16</v>
      </c>
      <c r="B19" s="351" t="str">
        <f t="shared" si="1"/>
        <v>Occupancy Rate</v>
      </c>
      <c r="C19" s="349">
        <v>16</v>
      </c>
      <c r="D19" s="351" t="s">
        <v>455</v>
      </c>
      <c r="E19" s="351" t="s">
        <v>556</v>
      </c>
      <c r="F19" s="351" t="s">
        <v>918</v>
      </c>
      <c r="G19" s="351" t="s">
        <v>1743</v>
      </c>
      <c r="H19" s="351" t="s">
        <v>2270</v>
      </c>
      <c r="I19" s="292" t="s">
        <v>2660</v>
      </c>
    </row>
    <row r="20" spans="1:9" ht="15.75">
      <c r="A20" s="347">
        <f t="shared" si="0"/>
        <v>17</v>
      </c>
      <c r="B20" s="351" t="str">
        <f t="shared" si="1"/>
        <v>Completed</v>
      </c>
      <c r="C20" s="349">
        <v>17</v>
      </c>
      <c r="D20" s="351" t="s">
        <v>469</v>
      </c>
      <c r="E20" s="351" t="s">
        <v>875</v>
      </c>
      <c r="F20" s="351" t="s">
        <v>1283</v>
      </c>
      <c r="G20" s="351" t="s">
        <v>1696</v>
      </c>
      <c r="H20" s="351" t="s">
        <v>2269</v>
      </c>
      <c r="I20" s="292" t="s">
        <v>2269</v>
      </c>
    </row>
    <row r="21" spans="1:9" ht="15.75">
      <c r="A21" s="347">
        <f t="shared" ref="A21:A84" si="2">C21</f>
        <v>18</v>
      </c>
      <c r="B21" s="351" t="str">
        <f t="shared" si="1"/>
        <v>Incompleted</v>
      </c>
      <c r="C21" s="349">
        <v>18</v>
      </c>
      <c r="D21" s="351" t="s">
        <v>470</v>
      </c>
      <c r="E21" s="351" t="s">
        <v>876</v>
      </c>
      <c r="F21" s="351" t="s">
        <v>1284</v>
      </c>
      <c r="G21" s="351" t="s">
        <v>1697</v>
      </c>
      <c r="H21" s="351" t="s">
        <v>2265</v>
      </c>
      <c r="I21" s="292" t="s">
        <v>2265</v>
      </c>
    </row>
    <row r="22" spans="1:9" ht="15.75">
      <c r="A22" s="347">
        <f t="shared" si="2"/>
        <v>19</v>
      </c>
      <c r="B22" s="351" t="str">
        <f t="shared" si="1"/>
        <v>Compliant</v>
      </c>
      <c r="C22" s="349">
        <v>19</v>
      </c>
      <c r="D22" s="351" t="s">
        <v>1</v>
      </c>
      <c r="E22" s="351" t="s">
        <v>789</v>
      </c>
      <c r="F22" s="351" t="s">
        <v>1285</v>
      </c>
      <c r="G22" s="351" t="s">
        <v>1698</v>
      </c>
      <c r="H22" s="351" t="s">
        <v>1285</v>
      </c>
      <c r="I22" s="292" t="s">
        <v>1285</v>
      </c>
    </row>
    <row r="23" spans="1:9" ht="15.75">
      <c r="A23" s="347">
        <f t="shared" si="2"/>
        <v>20</v>
      </c>
      <c r="B23" s="351" t="str">
        <f t="shared" si="1"/>
        <v>Comments</v>
      </c>
      <c r="C23" s="349">
        <v>20</v>
      </c>
      <c r="D23" s="351" t="s">
        <v>471</v>
      </c>
      <c r="E23" s="351" t="s">
        <v>877</v>
      </c>
      <c r="F23" s="351" t="s">
        <v>1286</v>
      </c>
      <c r="G23" s="351" t="s">
        <v>1699</v>
      </c>
      <c r="H23" s="351" t="s">
        <v>2236</v>
      </c>
      <c r="I23" s="292" t="s">
        <v>2661</v>
      </c>
    </row>
    <row r="24" spans="1:9" ht="15.75">
      <c r="A24" s="347">
        <f t="shared" si="2"/>
        <v>21</v>
      </c>
      <c r="B24" s="351" t="str">
        <f t="shared" si="1"/>
        <v>Number of Ok:</v>
      </c>
      <c r="C24" s="349">
        <v>21</v>
      </c>
      <c r="D24" s="351" t="s">
        <v>472</v>
      </c>
      <c r="E24" s="351" t="s">
        <v>878</v>
      </c>
      <c r="F24" s="351" t="s">
        <v>1287</v>
      </c>
      <c r="G24" s="351" t="s">
        <v>1700</v>
      </c>
      <c r="H24" s="351" t="s">
        <v>2253</v>
      </c>
      <c r="I24" s="292" t="s">
        <v>2662</v>
      </c>
    </row>
    <row r="25" spans="1:9" ht="15.75">
      <c r="A25" s="347">
        <f t="shared" si="2"/>
        <v>22</v>
      </c>
      <c r="B25" s="351" t="str">
        <f t="shared" si="1"/>
        <v>Number of Fails:</v>
      </c>
      <c r="C25" s="349">
        <v>22</v>
      </c>
      <c r="D25" s="351" t="s">
        <v>120</v>
      </c>
      <c r="E25" s="351" t="s">
        <v>879</v>
      </c>
      <c r="F25" s="351" t="s">
        <v>1288</v>
      </c>
      <c r="G25" s="351" t="s">
        <v>1701</v>
      </c>
      <c r="H25" s="351" t="s">
        <v>2252</v>
      </c>
      <c r="I25" s="292" t="s">
        <v>2663</v>
      </c>
    </row>
    <row r="26" spans="1:9" ht="15.75">
      <c r="A26" s="347">
        <f t="shared" si="2"/>
        <v>23</v>
      </c>
      <c r="B26" s="351" t="str">
        <f t="shared" si="1"/>
        <v>Not Evaluated:</v>
      </c>
      <c r="C26" s="349">
        <v>23</v>
      </c>
      <c r="D26" s="351" t="s">
        <v>121</v>
      </c>
      <c r="E26" s="351" t="s">
        <v>880</v>
      </c>
      <c r="F26" s="351" t="s">
        <v>1289</v>
      </c>
      <c r="G26" s="351" t="s">
        <v>1702</v>
      </c>
      <c r="H26" s="351" t="s">
        <v>2268</v>
      </c>
      <c r="I26" s="292" t="s">
        <v>2664</v>
      </c>
    </row>
    <row r="27" spans="1:9" ht="15.75">
      <c r="A27" s="347">
        <f t="shared" si="2"/>
        <v>24</v>
      </c>
      <c r="B27" s="351" t="str">
        <f t="shared" si="1"/>
        <v>Pass</v>
      </c>
      <c r="C27" s="349">
        <v>24</v>
      </c>
      <c r="D27" s="351" t="s">
        <v>473</v>
      </c>
      <c r="E27" s="351" t="s">
        <v>789</v>
      </c>
      <c r="F27" s="351" t="s">
        <v>1176</v>
      </c>
      <c r="G27" s="351" t="s">
        <v>1703</v>
      </c>
      <c r="H27" s="351" t="s">
        <v>2267</v>
      </c>
      <c r="I27" s="292" t="s">
        <v>2690</v>
      </c>
    </row>
    <row r="28" spans="1:9" ht="15.75">
      <c r="A28" s="347">
        <f t="shared" si="2"/>
        <v>25</v>
      </c>
      <c r="B28" s="351" t="str">
        <f t="shared" si="1"/>
        <v>Fail</v>
      </c>
      <c r="C28" s="349">
        <v>25</v>
      </c>
      <c r="D28" s="351" t="s">
        <v>116</v>
      </c>
      <c r="E28" s="351" t="s">
        <v>790</v>
      </c>
      <c r="F28" s="351" t="s">
        <v>1177</v>
      </c>
      <c r="G28" s="351" t="s">
        <v>1704</v>
      </c>
      <c r="H28" s="351" t="s">
        <v>2266</v>
      </c>
      <c r="I28" s="292" t="s">
        <v>2691</v>
      </c>
    </row>
    <row r="29" spans="1:9" ht="15.75">
      <c r="A29" s="347">
        <f t="shared" si="2"/>
        <v>26</v>
      </c>
      <c r="B29" s="351" t="str">
        <f t="shared" si="1"/>
        <v>Incomplete</v>
      </c>
      <c r="C29" s="349">
        <v>26</v>
      </c>
      <c r="D29" s="351" t="s">
        <v>521</v>
      </c>
      <c r="E29" s="351" t="s">
        <v>881</v>
      </c>
      <c r="F29" s="351" t="s">
        <v>1284</v>
      </c>
      <c r="G29" s="351" t="s">
        <v>1697</v>
      </c>
      <c r="H29" s="351" t="s">
        <v>2265</v>
      </c>
      <c r="I29" s="292" t="s">
        <v>2265</v>
      </c>
    </row>
    <row r="30" spans="1:9" ht="15.75">
      <c r="A30" s="347">
        <f t="shared" si="2"/>
        <v>27</v>
      </c>
      <c r="B30" s="351" t="str">
        <f t="shared" si="1"/>
        <v>Total Items</v>
      </c>
      <c r="C30" s="349">
        <v>27</v>
      </c>
      <c r="D30" s="351" t="s">
        <v>127</v>
      </c>
      <c r="E30" s="351" t="s">
        <v>882</v>
      </c>
      <c r="F30" s="351" t="s">
        <v>1290</v>
      </c>
      <c r="G30" s="351" t="s">
        <v>1705</v>
      </c>
      <c r="H30" s="351" t="s">
        <v>2264</v>
      </c>
      <c r="I30" s="292" t="s">
        <v>127</v>
      </c>
    </row>
    <row r="31" spans="1:9" ht="15.75">
      <c r="A31" s="347">
        <f t="shared" si="2"/>
        <v>28</v>
      </c>
      <c r="B31" s="351" t="str">
        <f t="shared" si="1"/>
        <v>Total Items + SubItems</v>
      </c>
      <c r="C31" s="349">
        <v>28</v>
      </c>
      <c r="D31" s="351" t="s">
        <v>277</v>
      </c>
      <c r="E31" s="351" t="s">
        <v>883</v>
      </c>
      <c r="F31" s="351" t="s">
        <v>1291</v>
      </c>
      <c r="G31" s="351" t="s">
        <v>1706</v>
      </c>
      <c r="H31" s="351" t="s">
        <v>2263</v>
      </c>
      <c r="I31" s="292" t="s">
        <v>2665</v>
      </c>
    </row>
    <row r="32" spans="1:9" ht="15.75">
      <c r="A32" s="347">
        <f t="shared" si="2"/>
        <v>29</v>
      </c>
      <c r="B32" s="351" t="str">
        <f t="shared" si="1"/>
        <v>Itens Completed</v>
      </c>
      <c r="C32" s="349">
        <v>29</v>
      </c>
      <c r="D32" s="351" t="s">
        <v>125</v>
      </c>
      <c r="E32" s="351" t="s">
        <v>884</v>
      </c>
      <c r="F32" s="351" t="s">
        <v>1292</v>
      </c>
      <c r="G32" s="351" t="s">
        <v>1707</v>
      </c>
      <c r="H32" s="351" t="s">
        <v>2262</v>
      </c>
      <c r="I32" s="292" t="s">
        <v>2666</v>
      </c>
    </row>
    <row r="33" spans="1:9" ht="15.75">
      <c r="A33" s="347">
        <f t="shared" si="2"/>
        <v>30</v>
      </c>
      <c r="B33" s="351" t="str">
        <f t="shared" si="1"/>
        <v>Not measured</v>
      </c>
      <c r="C33" s="349">
        <v>30</v>
      </c>
      <c r="D33" s="351" t="s">
        <v>126</v>
      </c>
      <c r="E33" s="351" t="s">
        <v>880</v>
      </c>
      <c r="F33" s="351" t="s">
        <v>1293</v>
      </c>
      <c r="G33" s="351" t="s">
        <v>1708</v>
      </c>
      <c r="H33" s="351" t="s">
        <v>2261</v>
      </c>
      <c r="I33" s="292" t="s">
        <v>2667</v>
      </c>
    </row>
    <row r="34" spans="1:9" ht="15.75">
      <c r="A34" s="347">
        <f t="shared" si="2"/>
        <v>31</v>
      </c>
      <c r="B34" s="351" t="str">
        <f t="shared" si="1"/>
        <v>Score</v>
      </c>
      <c r="C34" s="349">
        <v>31</v>
      </c>
      <c r="D34" s="351" t="s">
        <v>3</v>
      </c>
      <c r="E34" s="351" t="s">
        <v>3</v>
      </c>
      <c r="F34" s="351" t="s">
        <v>3</v>
      </c>
      <c r="G34" s="351" t="s">
        <v>1709</v>
      </c>
      <c r="H34" s="351" t="s">
        <v>2260</v>
      </c>
      <c r="I34" s="292" t="s">
        <v>2668</v>
      </c>
    </row>
    <row r="35" spans="1:9" ht="15.75">
      <c r="A35" s="347">
        <f t="shared" si="2"/>
        <v>32</v>
      </c>
      <c r="B35" s="351" t="str">
        <f t="shared" si="1"/>
        <v>Maximum Score</v>
      </c>
      <c r="C35" s="349">
        <v>32</v>
      </c>
      <c r="D35" s="351" t="s">
        <v>270</v>
      </c>
      <c r="E35" s="351" t="s">
        <v>885</v>
      </c>
      <c r="F35" s="351" t="s">
        <v>1294</v>
      </c>
      <c r="G35" s="351" t="s">
        <v>1710</v>
      </c>
      <c r="H35" s="351" t="s">
        <v>2259</v>
      </c>
      <c r="I35" s="292" t="s">
        <v>2669</v>
      </c>
    </row>
    <row r="36" spans="1:9" ht="15.75">
      <c r="A36" s="347">
        <f t="shared" si="2"/>
        <v>33</v>
      </c>
      <c r="B36" s="351" t="str">
        <f t="shared" si="1"/>
        <v>Percentage</v>
      </c>
      <c r="C36" s="349">
        <v>33</v>
      </c>
      <c r="D36" s="351" t="s">
        <v>481</v>
      </c>
      <c r="E36" s="351" t="s">
        <v>886</v>
      </c>
      <c r="F36" s="351" t="s">
        <v>1295</v>
      </c>
      <c r="G36" s="351" t="s">
        <v>1711</v>
      </c>
      <c r="H36" s="351" t="s">
        <v>2258</v>
      </c>
      <c r="I36" s="292" t="s">
        <v>2670</v>
      </c>
    </row>
    <row r="37" spans="1:9" ht="15.75">
      <c r="A37" s="347">
        <f t="shared" si="2"/>
        <v>34</v>
      </c>
      <c r="B37" s="351" t="str">
        <f t="shared" si="1"/>
        <v>Category Value</v>
      </c>
      <c r="C37" s="349">
        <v>34</v>
      </c>
      <c r="D37" s="351" t="s">
        <v>479</v>
      </c>
      <c r="E37" s="351" t="s">
        <v>887</v>
      </c>
      <c r="F37" s="351" t="s">
        <v>1296</v>
      </c>
      <c r="G37" s="351" t="s">
        <v>1712</v>
      </c>
      <c r="H37" s="351" t="s">
        <v>2257</v>
      </c>
      <c r="I37" s="292" t="s">
        <v>2692</v>
      </c>
    </row>
    <row r="38" spans="1:9" ht="15.75">
      <c r="A38" s="347">
        <f t="shared" si="2"/>
        <v>35</v>
      </c>
      <c r="B38" s="351" t="str">
        <f t="shared" si="1"/>
        <v>Global Evaluation</v>
      </c>
      <c r="C38" s="349">
        <v>35</v>
      </c>
      <c r="D38" s="351" t="s">
        <v>123</v>
      </c>
      <c r="E38" s="351" t="s">
        <v>888</v>
      </c>
      <c r="F38" s="351" t="s">
        <v>1297</v>
      </c>
      <c r="G38" s="351" t="s">
        <v>1713</v>
      </c>
      <c r="H38" s="351" t="s">
        <v>2256</v>
      </c>
      <c r="I38" s="292" t="s">
        <v>2671</v>
      </c>
    </row>
    <row r="39" spans="1:9" ht="15.75">
      <c r="A39" s="347">
        <f t="shared" si="2"/>
        <v>36</v>
      </c>
      <c r="B39" s="351" t="str">
        <f t="shared" si="1"/>
        <v>Category</v>
      </c>
      <c r="C39" s="349">
        <v>36</v>
      </c>
      <c r="D39" s="351" t="s">
        <v>124</v>
      </c>
      <c r="E39" s="351" t="s">
        <v>889</v>
      </c>
      <c r="F39" s="351" t="s">
        <v>1298</v>
      </c>
      <c r="G39" s="351" t="s">
        <v>1714</v>
      </c>
      <c r="H39" s="351" t="s">
        <v>2255</v>
      </c>
      <c r="I39" s="292" t="s">
        <v>2672</v>
      </c>
    </row>
    <row r="40" spans="1:9" ht="15.75">
      <c r="A40" s="347">
        <f t="shared" si="2"/>
        <v>37</v>
      </c>
      <c r="B40" s="351" t="str">
        <f t="shared" si="1"/>
        <v>Number of Items</v>
      </c>
      <c r="C40" s="349">
        <v>37</v>
      </c>
      <c r="D40" s="351" t="s">
        <v>430</v>
      </c>
      <c r="E40" s="351" t="s">
        <v>890</v>
      </c>
      <c r="F40" s="351" t="s">
        <v>1290</v>
      </c>
      <c r="G40" s="351" t="s">
        <v>1715</v>
      </c>
      <c r="H40" s="351" t="s">
        <v>2254</v>
      </c>
      <c r="I40" s="292" t="s">
        <v>2673</v>
      </c>
    </row>
    <row r="41" spans="1:9" ht="15.75">
      <c r="A41" s="347">
        <f t="shared" si="2"/>
        <v>38</v>
      </c>
      <c r="B41" s="351" t="str">
        <f t="shared" si="1"/>
        <v>Number of Oks</v>
      </c>
      <c r="C41" s="349">
        <v>38</v>
      </c>
      <c r="D41" s="351" t="s">
        <v>431</v>
      </c>
      <c r="E41" s="351" t="s">
        <v>878</v>
      </c>
      <c r="F41" s="351" t="s">
        <v>1287</v>
      </c>
      <c r="G41" s="351" t="s">
        <v>1716</v>
      </c>
      <c r="H41" s="351" t="s">
        <v>2253</v>
      </c>
      <c r="I41" s="292" t="s">
        <v>2674</v>
      </c>
    </row>
    <row r="42" spans="1:9" ht="15.75">
      <c r="A42" s="347">
        <f t="shared" si="2"/>
        <v>39</v>
      </c>
      <c r="B42" s="351" t="str">
        <f t="shared" si="1"/>
        <v>Number of Fails</v>
      </c>
      <c r="C42" s="349">
        <v>39</v>
      </c>
      <c r="D42" s="351" t="s">
        <v>432</v>
      </c>
      <c r="E42" s="351" t="s">
        <v>879</v>
      </c>
      <c r="F42" s="351" t="s">
        <v>1288</v>
      </c>
      <c r="G42" s="351" t="s">
        <v>1717</v>
      </c>
      <c r="H42" s="351" t="s">
        <v>2252</v>
      </c>
      <c r="I42" s="292" t="s">
        <v>2675</v>
      </c>
    </row>
    <row r="43" spans="1:9" ht="15.75">
      <c r="A43" s="347">
        <f t="shared" si="2"/>
        <v>40</v>
      </c>
      <c r="B43" s="351" t="str">
        <f t="shared" si="1"/>
        <v>To be Completed</v>
      </c>
      <c r="C43" s="349">
        <v>40</v>
      </c>
      <c r="D43" s="351" t="s">
        <v>434</v>
      </c>
      <c r="E43" s="351" t="s">
        <v>891</v>
      </c>
      <c r="F43" s="351" t="s">
        <v>1299</v>
      </c>
      <c r="G43" s="351" t="s">
        <v>1718</v>
      </c>
      <c r="H43" s="351" t="s">
        <v>2251</v>
      </c>
      <c r="I43" s="292" t="s">
        <v>2676</v>
      </c>
    </row>
    <row r="44" spans="1:9" ht="15.75">
      <c r="A44" s="347">
        <f t="shared" si="2"/>
        <v>41</v>
      </c>
      <c r="B44" s="351" t="str">
        <f t="shared" si="1"/>
        <v>% Obtained</v>
      </c>
      <c r="C44" s="349">
        <v>41</v>
      </c>
      <c r="D44" s="351" t="s">
        <v>476</v>
      </c>
      <c r="E44" s="351" t="s">
        <v>892</v>
      </c>
      <c r="F44" s="351" t="s">
        <v>1300</v>
      </c>
      <c r="G44" s="351" t="s">
        <v>1719</v>
      </c>
      <c r="H44" s="351" t="s">
        <v>2250</v>
      </c>
      <c r="I44" s="292" t="s">
        <v>2677</v>
      </c>
    </row>
    <row r="45" spans="1:9" ht="15.75">
      <c r="A45" s="347">
        <f t="shared" si="2"/>
        <v>42</v>
      </c>
      <c r="B45" s="351" t="str">
        <f t="shared" si="1"/>
        <v>Minimum</v>
      </c>
      <c r="C45" s="349">
        <v>42</v>
      </c>
      <c r="D45" s="351" t="s">
        <v>519</v>
      </c>
      <c r="E45" s="351" t="s">
        <v>893</v>
      </c>
      <c r="F45" s="351" t="s">
        <v>519</v>
      </c>
      <c r="G45" s="351" t="s">
        <v>519</v>
      </c>
      <c r="H45" s="351" t="s">
        <v>2249</v>
      </c>
      <c r="I45" s="292" t="s">
        <v>2249</v>
      </c>
    </row>
    <row r="46" spans="1:9" ht="15.75">
      <c r="A46" s="347">
        <f t="shared" si="2"/>
        <v>43</v>
      </c>
      <c r="B46" s="351" t="str">
        <f t="shared" si="1"/>
        <v>Category Points</v>
      </c>
      <c r="C46" s="349">
        <v>43</v>
      </c>
      <c r="D46" s="351" t="s">
        <v>477</v>
      </c>
      <c r="E46" s="351" t="s">
        <v>887</v>
      </c>
      <c r="F46" s="351" t="s">
        <v>1301</v>
      </c>
      <c r="G46" s="351" t="s">
        <v>1720</v>
      </c>
      <c r="H46" s="351" t="s">
        <v>2248</v>
      </c>
      <c r="I46" s="292" t="s">
        <v>2678</v>
      </c>
    </row>
    <row r="47" spans="1:9" ht="15.75">
      <c r="A47" s="347">
        <f t="shared" si="2"/>
        <v>44</v>
      </c>
      <c r="B47" s="351" t="str">
        <f t="shared" si="1"/>
        <v>Points Obtained</v>
      </c>
      <c r="C47" s="349">
        <v>44</v>
      </c>
      <c r="D47" s="351" t="s">
        <v>478</v>
      </c>
      <c r="E47" s="351" t="s">
        <v>894</v>
      </c>
      <c r="F47" s="351" t="s">
        <v>1302</v>
      </c>
      <c r="G47" s="351" t="s">
        <v>1721</v>
      </c>
      <c r="H47" s="351" t="s">
        <v>2247</v>
      </c>
      <c r="I47" s="292" t="s">
        <v>2679</v>
      </c>
    </row>
    <row r="48" spans="1:9" ht="15.75">
      <c r="A48" s="347">
        <f t="shared" si="2"/>
        <v>45</v>
      </c>
      <c r="B48" s="351" t="str">
        <f t="shared" si="1"/>
        <v>Status</v>
      </c>
      <c r="C48" s="349">
        <v>45</v>
      </c>
      <c r="D48" s="351" t="s">
        <v>433</v>
      </c>
      <c r="E48" s="351" t="s">
        <v>433</v>
      </c>
      <c r="F48" s="351" t="s">
        <v>1303</v>
      </c>
      <c r="G48" s="351" t="s">
        <v>433</v>
      </c>
      <c r="H48" s="351" t="s">
        <v>2246</v>
      </c>
      <c r="I48" s="292" t="s">
        <v>2246</v>
      </c>
    </row>
    <row r="49" spans="1:9" ht="15.75">
      <c r="A49" s="347">
        <f t="shared" si="2"/>
        <v>46</v>
      </c>
      <c r="B49" s="351" t="str">
        <f t="shared" si="1"/>
        <v>% Completion:</v>
      </c>
      <c r="C49" s="349">
        <v>46</v>
      </c>
      <c r="D49" s="351" t="s">
        <v>435</v>
      </c>
      <c r="E49" s="351" t="s">
        <v>895</v>
      </c>
      <c r="F49" s="351" t="s">
        <v>1304</v>
      </c>
      <c r="G49" s="351" t="s">
        <v>1722</v>
      </c>
      <c r="H49" s="351" t="s">
        <v>2245</v>
      </c>
      <c r="I49" s="292" t="s">
        <v>2680</v>
      </c>
    </row>
    <row r="50" spans="1:9" ht="15.75">
      <c r="A50" s="347">
        <f t="shared" si="2"/>
        <v>47</v>
      </c>
      <c r="B50" s="351" t="str">
        <f t="shared" si="1"/>
        <v>Subtotals</v>
      </c>
      <c r="C50" s="349">
        <v>47</v>
      </c>
      <c r="D50" s="351" t="s">
        <v>522</v>
      </c>
      <c r="E50" s="351" t="s">
        <v>896</v>
      </c>
      <c r="F50" s="351" t="s">
        <v>1305</v>
      </c>
      <c r="G50" s="351" t="s">
        <v>1723</v>
      </c>
      <c r="H50" s="351" t="s">
        <v>2244</v>
      </c>
      <c r="I50" s="292" t="s">
        <v>2681</v>
      </c>
    </row>
    <row r="51" spans="1:9" ht="15.75">
      <c r="A51" s="347">
        <f t="shared" si="2"/>
        <v>48</v>
      </c>
      <c r="B51" s="351" t="str">
        <f t="shared" si="1"/>
        <v>Totals</v>
      </c>
      <c r="C51" s="349">
        <v>48</v>
      </c>
      <c r="D51" s="351" t="s">
        <v>436</v>
      </c>
      <c r="E51" s="351" t="s">
        <v>897</v>
      </c>
      <c r="F51" s="351" t="s">
        <v>1306</v>
      </c>
      <c r="G51" s="351" t="s">
        <v>1724</v>
      </c>
      <c r="H51" s="351" t="s">
        <v>2243</v>
      </c>
      <c r="I51" s="292" t="s">
        <v>1306</v>
      </c>
    </row>
    <row r="52" spans="1:9" ht="15.75">
      <c r="A52" s="347">
        <f t="shared" si="2"/>
        <v>49</v>
      </c>
      <c r="B52" s="351" t="str">
        <f t="shared" si="1"/>
        <v>Minimum Requirement for ESPA Award</v>
      </c>
      <c r="C52" s="349">
        <v>49</v>
      </c>
      <c r="D52" s="351" t="s">
        <v>523</v>
      </c>
      <c r="E52" s="351" t="s">
        <v>898</v>
      </c>
      <c r="F52" s="351" t="s">
        <v>1307</v>
      </c>
      <c r="G52" s="351" t="s">
        <v>1725</v>
      </c>
      <c r="H52" s="351" t="s">
        <v>2242</v>
      </c>
      <c r="I52" s="292" t="s">
        <v>2693</v>
      </c>
    </row>
    <row r="53" spans="1:9" ht="15.75">
      <c r="A53" s="347">
        <f t="shared" si="2"/>
        <v>50</v>
      </c>
      <c r="B53" s="351" t="str">
        <f t="shared" si="1"/>
        <v>Categories Minimum Points</v>
      </c>
      <c r="C53" s="349">
        <v>50</v>
      </c>
      <c r="D53" s="351" t="s">
        <v>520</v>
      </c>
      <c r="E53" s="351" t="s">
        <v>903</v>
      </c>
      <c r="F53" s="351" t="s">
        <v>1308</v>
      </c>
      <c r="G53" s="351" t="s">
        <v>1726</v>
      </c>
      <c r="H53" s="351" t="s">
        <v>2241</v>
      </c>
      <c r="I53" s="292" t="s">
        <v>2694</v>
      </c>
    </row>
    <row r="54" spans="1:9" ht="15.75">
      <c r="A54" s="347">
        <f t="shared" si="2"/>
        <v>51</v>
      </c>
      <c r="B54" s="351" t="str">
        <f t="shared" si="1"/>
        <v>Espa Award</v>
      </c>
      <c r="C54" s="349">
        <v>51</v>
      </c>
      <c r="D54" s="351" t="s">
        <v>524</v>
      </c>
      <c r="E54" s="351" t="s">
        <v>524</v>
      </c>
      <c r="F54" s="351" t="s">
        <v>1309</v>
      </c>
      <c r="G54" s="351" t="s">
        <v>1727</v>
      </c>
      <c r="H54" s="351" t="s">
        <v>2240</v>
      </c>
      <c r="I54" s="292" t="s">
        <v>2695</v>
      </c>
    </row>
    <row r="55" spans="1:9" ht="15.75">
      <c r="A55" s="347">
        <f t="shared" si="2"/>
        <v>52</v>
      </c>
      <c r="B55" s="351" t="str">
        <f t="shared" si="1"/>
        <v>Item List</v>
      </c>
      <c r="C55" s="349">
        <v>52</v>
      </c>
      <c r="D55" s="351" t="s">
        <v>276</v>
      </c>
      <c r="E55" s="351" t="s">
        <v>276</v>
      </c>
      <c r="F55" s="351" t="s">
        <v>1310</v>
      </c>
      <c r="G55" s="351" t="s">
        <v>1520</v>
      </c>
      <c r="H55" s="351" t="s">
        <v>1958</v>
      </c>
      <c r="I55" s="292" t="s">
        <v>2380</v>
      </c>
    </row>
    <row r="56" spans="1:9" ht="15.75">
      <c r="A56" s="347">
        <f t="shared" si="2"/>
        <v>53</v>
      </c>
      <c r="B56" s="351" t="str">
        <f t="shared" si="1"/>
        <v>Measured value</v>
      </c>
      <c r="C56" s="349">
        <v>53</v>
      </c>
      <c r="D56" s="351" t="s">
        <v>92</v>
      </c>
      <c r="E56" s="351" t="s">
        <v>899</v>
      </c>
      <c r="F56" s="351" t="s">
        <v>1311</v>
      </c>
      <c r="G56" s="351" t="s">
        <v>1728</v>
      </c>
      <c r="H56" s="351" t="s">
        <v>2239</v>
      </c>
      <c r="I56" s="292" t="s">
        <v>2682</v>
      </c>
    </row>
    <row r="57" spans="1:9" ht="15.75">
      <c r="A57" s="347">
        <f t="shared" si="2"/>
        <v>54</v>
      </c>
      <c r="B57" s="351" t="str">
        <f t="shared" si="1"/>
        <v>Maximum Contribuition for Final Score</v>
      </c>
      <c r="C57" s="349">
        <v>54</v>
      </c>
      <c r="D57" s="351" t="s">
        <v>480</v>
      </c>
      <c r="E57" s="351" t="s">
        <v>900</v>
      </c>
      <c r="F57" s="351" t="s">
        <v>1312</v>
      </c>
      <c r="G57" s="351" t="s">
        <v>1729</v>
      </c>
      <c r="H57" s="351" t="s">
        <v>2238</v>
      </c>
      <c r="I57" s="292" t="s">
        <v>2696</v>
      </c>
    </row>
    <row r="58" spans="1:9" ht="15.75">
      <c r="A58" s="347">
        <f t="shared" si="2"/>
        <v>55</v>
      </c>
      <c r="B58" s="351" t="str">
        <f t="shared" si="1"/>
        <v>Contribuition for Final Score</v>
      </c>
      <c r="C58" s="349">
        <v>55</v>
      </c>
      <c r="D58" s="351" t="s">
        <v>475</v>
      </c>
      <c r="E58" s="351" t="s">
        <v>901</v>
      </c>
      <c r="F58" s="351" t="s">
        <v>1313</v>
      </c>
      <c r="G58" s="351" t="s">
        <v>1730</v>
      </c>
      <c r="H58" s="351" t="s">
        <v>2237</v>
      </c>
      <c r="I58" s="292" t="s">
        <v>2683</v>
      </c>
    </row>
    <row r="59" spans="1:9" ht="15.75">
      <c r="A59" s="347">
        <f t="shared" si="2"/>
        <v>56</v>
      </c>
      <c r="B59" s="351" t="str">
        <f t="shared" si="1"/>
        <v>Remarks</v>
      </c>
      <c r="C59" s="349">
        <v>56</v>
      </c>
      <c r="D59" s="351" t="s">
        <v>4</v>
      </c>
      <c r="E59" s="351" t="s">
        <v>902</v>
      </c>
      <c r="F59" s="351" t="s">
        <v>1314</v>
      </c>
      <c r="G59" s="351" t="s">
        <v>1731</v>
      </c>
      <c r="H59" s="351" t="s">
        <v>2236</v>
      </c>
      <c r="I59" s="292" t="s">
        <v>2684</v>
      </c>
    </row>
    <row r="60" spans="1:9" ht="15.75">
      <c r="A60" s="347">
        <f t="shared" si="2"/>
        <v>57</v>
      </c>
      <c r="B60" s="351" t="str">
        <f t="shared" si="1"/>
        <v>Notes</v>
      </c>
      <c r="C60" s="349">
        <v>57</v>
      </c>
      <c r="D60" s="351" t="s">
        <v>1345</v>
      </c>
      <c r="E60" s="351" t="s">
        <v>1346</v>
      </c>
      <c r="F60" s="351" t="s">
        <v>1286</v>
      </c>
      <c r="G60" s="351" t="s">
        <v>1731</v>
      </c>
      <c r="H60" s="351" t="s">
        <v>2235</v>
      </c>
      <c r="I60" s="292" t="s">
        <v>2235</v>
      </c>
    </row>
    <row r="61" spans="1:9" ht="31.5">
      <c r="A61" s="347">
        <f t="shared" si="2"/>
        <v>58</v>
      </c>
      <c r="B61" s="351" t="str">
        <f t="shared" si="1"/>
        <v>This will erase all data in ESPA Worksheet. Are you sure?</v>
      </c>
      <c r="C61" s="349">
        <v>58</v>
      </c>
      <c r="D61" s="351" t="s">
        <v>1354</v>
      </c>
      <c r="E61" s="351" t="s">
        <v>2751</v>
      </c>
      <c r="F61" s="351"/>
      <c r="G61" s="351" t="s">
        <v>1842</v>
      </c>
      <c r="H61" s="351" t="s">
        <v>2234</v>
      </c>
      <c r="I61" s="292" t="s">
        <v>2685</v>
      </c>
    </row>
    <row r="62" spans="1:9" ht="31.5">
      <c r="A62" s="347">
        <f t="shared" si="2"/>
        <v>59</v>
      </c>
      <c r="B62" s="351" t="str">
        <f t="shared" si="1"/>
        <v>You have entered an incorrect password. ESPA Worksheets could not be umprotected.</v>
      </c>
      <c r="C62" s="349">
        <v>59</v>
      </c>
      <c r="D62" s="351" t="s">
        <v>1352</v>
      </c>
      <c r="E62" s="351" t="s">
        <v>2752</v>
      </c>
      <c r="F62" s="351"/>
      <c r="G62" s="351" t="s">
        <v>1843</v>
      </c>
      <c r="H62" s="351" t="s">
        <v>2233</v>
      </c>
      <c r="I62" s="292" t="s">
        <v>2697</v>
      </c>
    </row>
    <row r="63" spans="1:9" ht="31.5">
      <c r="A63" s="347">
        <f t="shared" si="2"/>
        <v>60</v>
      </c>
      <c r="B63" s="351" t="str">
        <f t="shared" si="1"/>
        <v>Please enter your password to umprotect ESPA Worksheet:</v>
      </c>
      <c r="C63" s="349">
        <v>60</v>
      </c>
      <c r="D63" s="351" t="s">
        <v>1350</v>
      </c>
      <c r="E63" s="351" t="s">
        <v>2753</v>
      </c>
      <c r="F63" s="351"/>
      <c r="G63" s="351" t="s">
        <v>1844</v>
      </c>
      <c r="H63" s="351" t="s">
        <v>2232</v>
      </c>
      <c r="I63" s="292" t="s">
        <v>2698</v>
      </c>
    </row>
    <row r="64" spans="1:9" ht="15.75">
      <c r="A64" s="347">
        <f t="shared" si="2"/>
        <v>61</v>
      </c>
      <c r="B64" s="351" t="str">
        <f t="shared" si="1"/>
        <v>Password Input</v>
      </c>
      <c r="C64" s="349">
        <v>61</v>
      </c>
      <c r="D64" s="351" t="s">
        <v>1351</v>
      </c>
      <c r="E64" s="351" t="s">
        <v>2754</v>
      </c>
      <c r="F64" s="351"/>
      <c r="G64" s="351" t="s">
        <v>1845</v>
      </c>
      <c r="H64" s="351" t="s">
        <v>2231</v>
      </c>
      <c r="I64" s="292" t="s">
        <v>2686</v>
      </c>
    </row>
    <row r="65" spans="1:9" ht="15.75">
      <c r="A65" s="347">
        <f t="shared" si="2"/>
        <v>62</v>
      </c>
      <c r="B65" s="351" t="str">
        <f t="shared" si="1"/>
        <v>Incorrect Password</v>
      </c>
      <c r="C65" s="349">
        <v>62</v>
      </c>
      <c r="D65" s="351" t="s">
        <v>1353</v>
      </c>
      <c r="E65" s="351" t="s">
        <v>2755</v>
      </c>
      <c r="F65" s="351"/>
      <c r="G65" s="351" t="s">
        <v>1846</v>
      </c>
      <c r="H65" s="351" t="s">
        <v>2230</v>
      </c>
      <c r="I65" s="292" t="s">
        <v>2687</v>
      </c>
    </row>
    <row r="66" spans="1:9" ht="31.5">
      <c r="A66" s="347">
        <f t="shared" si="2"/>
        <v>63</v>
      </c>
      <c r="B66" s="351" t="str">
        <f t="shared" si="1"/>
        <v>This will print 15 pages on your active printer. Are you sure?</v>
      </c>
      <c r="C66" s="349">
        <v>63</v>
      </c>
      <c r="D66" s="351" t="s">
        <v>2699</v>
      </c>
      <c r="E66" s="357" t="s">
        <v>2793</v>
      </c>
      <c r="F66" s="351"/>
      <c r="G66" s="351" t="s">
        <v>1847</v>
      </c>
      <c r="H66" s="351" t="s">
        <v>2700</v>
      </c>
      <c r="I66" s="292" t="s">
        <v>2701</v>
      </c>
    </row>
    <row r="67" spans="1:9" ht="15.75">
      <c r="A67" s="347">
        <f t="shared" si="2"/>
        <v>64</v>
      </c>
      <c r="B67" s="351" t="str">
        <f t="shared" si="1"/>
        <v>Alert</v>
      </c>
      <c r="C67" s="349">
        <v>64</v>
      </c>
      <c r="D67" s="351" t="s">
        <v>1356</v>
      </c>
      <c r="E67" s="351" t="s">
        <v>2756</v>
      </c>
      <c r="F67" s="351"/>
      <c r="G67" s="351" t="s">
        <v>1848</v>
      </c>
      <c r="H67" s="351" t="s">
        <v>2229</v>
      </c>
      <c r="I67" s="292" t="s">
        <v>2702</v>
      </c>
    </row>
    <row r="68" spans="1:9" ht="31.5">
      <c r="A68" s="347">
        <f t="shared" si="2"/>
        <v>65</v>
      </c>
      <c r="B68" s="351" t="str">
        <f t="shared" ref="B68:B131" si="3">IF(ISBLANK(VLOOKUP(A68,$C$4:$V$10002,1+$A$1)),D68,VLOOKUP(A68,$C$4:$V$10002,1+$A$1))</f>
        <v>Changing languge will reset al your previous answers. Do you want to proceed?</v>
      </c>
      <c r="C68" s="349">
        <v>65</v>
      </c>
      <c r="D68" s="351" t="s">
        <v>1787</v>
      </c>
      <c r="E68" s="351" t="s">
        <v>2757</v>
      </c>
      <c r="F68" s="351"/>
      <c r="G68" s="351" t="s">
        <v>1849</v>
      </c>
      <c r="H68" s="351" t="s">
        <v>2228</v>
      </c>
      <c r="I68" s="292" t="s">
        <v>2703</v>
      </c>
    </row>
    <row r="69" spans="1:9" ht="15.75">
      <c r="A69" s="347">
        <f t="shared" si="2"/>
        <v>66</v>
      </c>
      <c r="B69" s="351" t="str">
        <f t="shared" si="3"/>
        <v>Mandatory Conditions for Golden Award</v>
      </c>
      <c r="C69" s="349">
        <v>66</v>
      </c>
      <c r="D69" s="351" t="s">
        <v>1861</v>
      </c>
      <c r="E69" s="351" t="s">
        <v>2758</v>
      </c>
      <c r="F69" s="351"/>
      <c r="G69" s="351" t="s">
        <v>1850</v>
      </c>
      <c r="H69" s="351" t="s">
        <v>2227</v>
      </c>
      <c r="I69" s="292" t="s">
        <v>2705</v>
      </c>
    </row>
    <row r="70" spans="1:9" ht="15.75">
      <c r="A70" s="347">
        <f t="shared" si="2"/>
        <v>67</v>
      </c>
      <c r="B70" s="351" t="str">
        <f t="shared" si="3"/>
        <v>ESPA Gold Award</v>
      </c>
      <c r="C70" s="349">
        <v>67</v>
      </c>
      <c r="D70" s="351" t="s">
        <v>1818</v>
      </c>
      <c r="E70" s="351" t="s">
        <v>1818</v>
      </c>
      <c r="F70" s="351"/>
      <c r="G70" s="351" t="s">
        <v>1818</v>
      </c>
      <c r="H70" s="351" t="s">
        <v>2226</v>
      </c>
      <c r="I70" s="292" t="s">
        <v>2704</v>
      </c>
    </row>
    <row r="71" spans="1:9" ht="15.75">
      <c r="A71" s="347">
        <f t="shared" si="2"/>
        <v>68</v>
      </c>
      <c r="B71" s="351" t="str">
        <f t="shared" si="3"/>
        <v>Global Evaluation - Gold Award</v>
      </c>
      <c r="C71" s="349">
        <v>68</v>
      </c>
      <c r="D71" s="351" t="s">
        <v>1819</v>
      </c>
      <c r="E71" s="357" t="s">
        <v>2794</v>
      </c>
      <c r="F71" s="351"/>
      <c r="G71" s="351" t="s">
        <v>1851</v>
      </c>
      <c r="H71" s="351" t="s">
        <v>2225</v>
      </c>
      <c r="I71" s="292" t="s">
        <v>2706</v>
      </c>
    </row>
    <row r="72" spans="1:9" ht="31.5">
      <c r="A72" s="347">
        <f t="shared" si="2"/>
        <v>69</v>
      </c>
      <c r="B72" s="351" t="str">
        <f t="shared" si="3"/>
        <v>The ESPA Worksheet uses Macros. Please enable content or close and reopen with Macros Enabled</v>
      </c>
      <c r="C72" s="349">
        <v>69</v>
      </c>
      <c r="D72" s="351" t="s">
        <v>2777</v>
      </c>
      <c r="E72" s="351" t="s">
        <v>2759</v>
      </c>
      <c r="F72" s="351"/>
      <c r="G72" s="351" t="s">
        <v>1852</v>
      </c>
      <c r="H72" s="351" t="s">
        <v>2224</v>
      </c>
      <c r="I72" s="292" t="s">
        <v>2707</v>
      </c>
    </row>
    <row r="73" spans="1:9">
      <c r="A73" s="347">
        <f t="shared" si="2"/>
        <v>70</v>
      </c>
      <c r="B73" s="292" t="str">
        <f t="shared" si="3"/>
        <v>Year of Construction</v>
      </c>
      <c r="C73" s="347">
        <v>70</v>
      </c>
      <c r="D73" s="292" t="s">
        <v>1788</v>
      </c>
      <c r="E73" s="292" t="s">
        <v>2760</v>
      </c>
      <c r="F73" s="292"/>
      <c r="G73" s="292" t="s">
        <v>2798</v>
      </c>
      <c r="H73" s="292" t="s">
        <v>2710</v>
      </c>
      <c r="I73" s="292" t="s">
        <v>2711</v>
      </c>
    </row>
    <row r="74" spans="1:9">
      <c r="A74" s="347">
        <f t="shared" si="2"/>
        <v>71</v>
      </c>
      <c r="B74" s="292" t="str">
        <f t="shared" si="3"/>
        <v>Structure</v>
      </c>
      <c r="C74" s="347">
        <v>71</v>
      </c>
      <c r="D74" s="292" t="s">
        <v>2709</v>
      </c>
      <c r="E74" s="292" t="s">
        <v>2761</v>
      </c>
      <c r="F74" s="292"/>
      <c r="G74" s="292" t="s">
        <v>2799</v>
      </c>
      <c r="H74" s="292"/>
      <c r="I74" s="292" t="s">
        <v>2712</v>
      </c>
    </row>
    <row r="75" spans="1:9">
      <c r="A75" s="347">
        <f t="shared" si="2"/>
        <v>72</v>
      </c>
      <c r="B75" s="292" t="str">
        <f t="shared" si="3"/>
        <v>Type</v>
      </c>
      <c r="C75" s="347">
        <v>72</v>
      </c>
      <c r="D75" s="292" t="s">
        <v>1778</v>
      </c>
      <c r="E75" s="292" t="s">
        <v>1778</v>
      </c>
      <c r="F75" s="292"/>
      <c r="G75" s="292" t="s">
        <v>2800</v>
      </c>
      <c r="H75" s="292"/>
      <c r="I75" s="292" t="s">
        <v>2713</v>
      </c>
    </row>
    <row r="76" spans="1:9">
      <c r="A76" s="347">
        <f t="shared" si="2"/>
        <v>73</v>
      </c>
      <c r="B76" s="292" t="str">
        <f t="shared" si="3"/>
        <v>Access Control System</v>
      </c>
      <c r="C76" s="347">
        <v>73</v>
      </c>
      <c r="D76" s="292" t="s">
        <v>2714</v>
      </c>
      <c r="E76" s="292" t="s">
        <v>2762</v>
      </c>
      <c r="F76" s="292"/>
      <c r="G76" s="292" t="s">
        <v>2801</v>
      </c>
      <c r="H76" s="292"/>
      <c r="I76" s="292" t="s">
        <v>2715</v>
      </c>
    </row>
    <row r="77" spans="1:9">
      <c r="A77" s="347">
        <f t="shared" si="2"/>
        <v>74</v>
      </c>
      <c r="B77" s="292" t="str">
        <f t="shared" si="3"/>
        <v>Number of Lifts</v>
      </c>
      <c r="C77" s="347">
        <v>74</v>
      </c>
      <c r="D77" s="292" t="s">
        <v>1786</v>
      </c>
      <c r="E77" s="292" t="s">
        <v>2763</v>
      </c>
      <c r="F77" s="292"/>
      <c r="G77" s="292" t="s">
        <v>2802</v>
      </c>
      <c r="H77" s="292"/>
      <c r="I77" s="292" t="s">
        <v>2716</v>
      </c>
    </row>
    <row r="78" spans="1:9">
      <c r="A78" s="347">
        <f t="shared" si="2"/>
        <v>75</v>
      </c>
      <c r="B78" s="292" t="str">
        <f t="shared" si="3"/>
        <v>Number of Floors</v>
      </c>
      <c r="C78" s="347">
        <v>75</v>
      </c>
      <c r="D78" s="292" t="s">
        <v>1774</v>
      </c>
      <c r="E78" s="292" t="s">
        <v>2764</v>
      </c>
      <c r="F78" s="292"/>
      <c r="G78" s="292" t="s">
        <v>2803</v>
      </c>
      <c r="H78" s="292"/>
      <c r="I78" s="292" t="s">
        <v>2717</v>
      </c>
    </row>
    <row r="79" spans="1:9">
      <c r="A79" s="347">
        <f t="shared" si="2"/>
        <v>76</v>
      </c>
      <c r="B79" s="292" t="str">
        <f t="shared" si="3"/>
        <v>Car Park Main Characteristics</v>
      </c>
      <c r="C79" s="347">
        <v>76</v>
      </c>
      <c r="D79" s="292" t="s">
        <v>1773</v>
      </c>
      <c r="E79" s="292" t="s">
        <v>2765</v>
      </c>
      <c r="F79" s="292"/>
      <c r="G79" s="292" t="s">
        <v>2804</v>
      </c>
      <c r="H79" s="292"/>
      <c r="I79" s="292" t="s">
        <v>2719</v>
      </c>
    </row>
    <row r="80" spans="1:9">
      <c r="A80" s="6">
        <f t="shared" si="2"/>
        <v>77</v>
      </c>
      <c r="B80" s="185">
        <f t="shared" si="3"/>
        <v>0</v>
      </c>
      <c r="C80" s="6">
        <v>77</v>
      </c>
      <c r="D80" s="185"/>
      <c r="E80" s="185"/>
      <c r="F80" s="185"/>
      <c r="G80" s="185"/>
      <c r="H80" s="185"/>
      <c r="I80" s="185"/>
    </row>
    <row r="81" spans="1:9">
      <c r="A81" s="6">
        <f t="shared" si="2"/>
        <v>78</v>
      </c>
      <c r="B81" s="185">
        <f t="shared" si="3"/>
        <v>0</v>
      </c>
      <c r="C81" s="6">
        <v>78</v>
      </c>
      <c r="D81" s="185"/>
      <c r="E81" s="185"/>
      <c r="F81" s="185"/>
      <c r="G81" s="185"/>
      <c r="H81" s="185"/>
      <c r="I81" s="185"/>
    </row>
    <row r="82" spans="1:9">
      <c r="A82" s="6">
        <f t="shared" si="2"/>
        <v>79</v>
      </c>
      <c r="B82" s="185">
        <f t="shared" si="3"/>
        <v>0</v>
      </c>
      <c r="C82" s="6">
        <v>79</v>
      </c>
      <c r="D82" s="185"/>
      <c r="E82" s="185"/>
      <c r="F82" s="185"/>
      <c r="G82" s="185"/>
      <c r="H82" s="185"/>
      <c r="I82" s="185"/>
    </row>
    <row r="83" spans="1:9">
      <c r="A83" s="6">
        <f t="shared" si="2"/>
        <v>80</v>
      </c>
      <c r="B83" s="185">
        <f t="shared" si="3"/>
        <v>0</v>
      </c>
      <c r="C83" s="6">
        <v>80</v>
      </c>
      <c r="D83" s="185"/>
      <c r="E83" s="185"/>
      <c r="F83" s="185"/>
      <c r="G83" s="185"/>
      <c r="H83" s="185"/>
      <c r="I83" s="185"/>
    </row>
    <row r="84" spans="1:9">
      <c r="A84" s="6">
        <f t="shared" si="2"/>
        <v>81</v>
      </c>
      <c r="B84" s="185">
        <f t="shared" si="3"/>
        <v>0</v>
      </c>
      <c r="C84" s="6">
        <v>81</v>
      </c>
      <c r="D84" s="185"/>
      <c r="E84" s="185"/>
      <c r="F84" s="185"/>
      <c r="G84" s="185"/>
      <c r="H84" s="185"/>
      <c r="I84" s="185"/>
    </row>
    <row r="85" spans="1:9">
      <c r="A85" s="6">
        <f t="shared" ref="A85:A148" si="4">C85</f>
        <v>82</v>
      </c>
      <c r="B85" s="185">
        <f t="shared" si="3"/>
        <v>0</v>
      </c>
      <c r="C85" s="6">
        <v>82</v>
      </c>
      <c r="D85" s="185"/>
      <c r="E85" s="185"/>
      <c r="F85" s="185"/>
      <c r="G85" s="185"/>
      <c r="H85" s="185"/>
      <c r="I85" s="185"/>
    </row>
    <row r="86" spans="1:9">
      <c r="A86" s="6">
        <f t="shared" si="4"/>
        <v>83</v>
      </c>
      <c r="B86" s="185">
        <f t="shared" si="3"/>
        <v>0</v>
      </c>
      <c r="C86" s="6">
        <v>83</v>
      </c>
      <c r="D86" s="185"/>
      <c r="E86" s="185"/>
      <c r="F86" s="185"/>
      <c r="G86" s="185"/>
      <c r="H86" s="185"/>
      <c r="I86" s="185"/>
    </row>
    <row r="87" spans="1:9">
      <c r="A87" s="6">
        <f t="shared" si="4"/>
        <v>84</v>
      </c>
      <c r="B87" s="185">
        <f t="shared" si="3"/>
        <v>0</v>
      </c>
      <c r="C87" s="6">
        <v>84</v>
      </c>
      <c r="D87" s="185"/>
      <c r="E87" s="185"/>
      <c r="F87" s="185"/>
      <c r="G87" s="185"/>
      <c r="H87" s="185"/>
      <c r="I87" s="185"/>
    </row>
    <row r="88" spans="1:9">
      <c r="A88" s="6">
        <f t="shared" si="4"/>
        <v>85</v>
      </c>
      <c r="B88" s="185">
        <f t="shared" si="3"/>
        <v>0</v>
      </c>
      <c r="C88" s="6">
        <v>85</v>
      </c>
      <c r="D88" s="185"/>
      <c r="E88" s="185"/>
      <c r="F88" s="185"/>
      <c r="G88" s="185"/>
      <c r="H88" s="185"/>
      <c r="I88" s="185"/>
    </row>
    <row r="89" spans="1:9">
      <c r="A89" s="6">
        <f t="shared" si="4"/>
        <v>86</v>
      </c>
      <c r="B89" s="185">
        <f t="shared" si="3"/>
        <v>0</v>
      </c>
      <c r="C89" s="6">
        <v>86</v>
      </c>
      <c r="D89" s="185"/>
      <c r="E89" s="185"/>
      <c r="F89" s="185"/>
      <c r="G89" s="185"/>
      <c r="H89" s="185"/>
      <c r="I89" s="185"/>
    </row>
    <row r="90" spans="1:9">
      <c r="A90" s="6">
        <f t="shared" si="4"/>
        <v>87</v>
      </c>
      <c r="B90" s="185">
        <f t="shared" si="3"/>
        <v>0</v>
      </c>
      <c r="C90" s="6">
        <v>87</v>
      </c>
      <c r="D90" s="185"/>
      <c r="E90" s="185"/>
      <c r="F90" s="185"/>
      <c r="G90" s="185"/>
      <c r="H90" s="185"/>
      <c r="I90" s="185"/>
    </row>
    <row r="91" spans="1:9">
      <c r="A91" s="6">
        <f t="shared" si="4"/>
        <v>88</v>
      </c>
      <c r="B91" s="185">
        <f t="shared" si="3"/>
        <v>0</v>
      </c>
      <c r="C91" s="6">
        <v>88</v>
      </c>
      <c r="D91" s="185"/>
      <c r="E91" s="185"/>
      <c r="F91" s="185"/>
      <c r="G91" s="185"/>
      <c r="H91" s="185"/>
      <c r="I91" s="185"/>
    </row>
    <row r="92" spans="1:9">
      <c r="A92" s="6">
        <f t="shared" si="4"/>
        <v>89</v>
      </c>
      <c r="B92" s="185">
        <f t="shared" si="3"/>
        <v>0</v>
      </c>
      <c r="C92" s="6">
        <v>89</v>
      </c>
      <c r="D92" s="185"/>
      <c r="E92" s="185"/>
      <c r="F92" s="185"/>
      <c r="G92" s="185"/>
      <c r="H92" s="185"/>
      <c r="I92" s="185"/>
    </row>
    <row r="93" spans="1:9">
      <c r="A93" s="6">
        <f t="shared" si="4"/>
        <v>90</v>
      </c>
      <c r="B93" s="185">
        <f t="shared" si="3"/>
        <v>0</v>
      </c>
      <c r="C93" s="6">
        <v>90</v>
      </c>
      <c r="D93" s="187"/>
      <c r="E93" s="187"/>
      <c r="F93" s="187"/>
      <c r="G93" s="187"/>
      <c r="H93" s="187"/>
      <c r="I93" s="187"/>
    </row>
    <row r="94" spans="1:9">
      <c r="A94" s="6">
        <f t="shared" si="4"/>
        <v>91</v>
      </c>
      <c r="B94" s="185">
        <f t="shared" si="3"/>
        <v>0</v>
      </c>
      <c r="C94" s="6">
        <v>91</v>
      </c>
      <c r="D94" s="187"/>
      <c r="E94" s="187"/>
      <c r="F94" s="187"/>
      <c r="G94" s="187"/>
      <c r="H94" s="187"/>
      <c r="I94" s="187"/>
    </row>
    <row r="95" spans="1:9">
      <c r="A95" s="6">
        <f t="shared" si="4"/>
        <v>92</v>
      </c>
      <c r="B95" s="185">
        <f t="shared" si="3"/>
        <v>0</v>
      </c>
      <c r="C95" s="6">
        <v>92</v>
      </c>
      <c r="D95" s="187"/>
      <c r="E95" s="187"/>
      <c r="F95" s="187"/>
      <c r="G95" s="187"/>
      <c r="H95" s="187"/>
      <c r="I95" s="187"/>
    </row>
    <row r="96" spans="1:9">
      <c r="A96" s="6">
        <f t="shared" si="4"/>
        <v>93</v>
      </c>
      <c r="B96" s="185">
        <f t="shared" si="3"/>
        <v>0</v>
      </c>
      <c r="C96" s="6">
        <v>93</v>
      </c>
      <c r="D96" s="188"/>
      <c r="E96" s="188"/>
      <c r="F96" s="188"/>
      <c r="G96" s="188"/>
      <c r="H96" s="188"/>
      <c r="I96" s="188"/>
    </row>
    <row r="97" spans="1:9">
      <c r="A97" s="6">
        <f t="shared" si="4"/>
        <v>94</v>
      </c>
      <c r="B97" s="185">
        <f t="shared" si="3"/>
        <v>0</v>
      </c>
      <c r="C97" s="6">
        <v>94</v>
      </c>
      <c r="D97" s="189"/>
      <c r="E97" s="189"/>
      <c r="F97" s="189"/>
      <c r="G97" s="189"/>
      <c r="H97" s="189"/>
      <c r="I97" s="189"/>
    </row>
    <row r="98" spans="1:9">
      <c r="A98" s="6">
        <f t="shared" si="4"/>
        <v>95</v>
      </c>
      <c r="B98" s="185">
        <f t="shared" si="3"/>
        <v>0</v>
      </c>
      <c r="C98" s="6">
        <v>95</v>
      </c>
      <c r="D98" s="187"/>
      <c r="E98" s="187"/>
      <c r="F98" s="187"/>
      <c r="G98" s="187"/>
      <c r="H98" s="187"/>
      <c r="I98" s="187"/>
    </row>
    <row r="99" spans="1:9">
      <c r="A99" s="6">
        <f t="shared" si="4"/>
        <v>96</v>
      </c>
      <c r="B99" s="185">
        <f t="shared" si="3"/>
        <v>0</v>
      </c>
      <c r="C99" s="6">
        <v>96</v>
      </c>
      <c r="D99" s="187"/>
      <c r="E99" s="187"/>
      <c r="F99" s="187"/>
      <c r="G99" s="187"/>
      <c r="H99" s="187"/>
      <c r="I99" s="187"/>
    </row>
    <row r="100" spans="1:9">
      <c r="A100" s="6">
        <f t="shared" si="4"/>
        <v>97</v>
      </c>
      <c r="B100" s="185">
        <f t="shared" si="3"/>
        <v>0</v>
      </c>
      <c r="C100" s="6">
        <v>97</v>
      </c>
      <c r="D100" s="187"/>
      <c r="E100" s="187"/>
      <c r="F100" s="187"/>
      <c r="G100" s="187"/>
      <c r="H100" s="187"/>
      <c r="I100" s="187"/>
    </row>
    <row r="101" spans="1:9">
      <c r="A101" s="6">
        <f t="shared" si="4"/>
        <v>98</v>
      </c>
      <c r="B101" s="185">
        <f t="shared" si="3"/>
        <v>0</v>
      </c>
      <c r="C101" s="6">
        <v>98</v>
      </c>
      <c r="D101" s="185"/>
      <c r="E101" s="185"/>
      <c r="F101" s="185"/>
      <c r="G101" s="185"/>
      <c r="H101" s="185"/>
      <c r="I101" s="185"/>
    </row>
    <row r="102" spans="1:9">
      <c r="A102" s="6">
        <f t="shared" si="4"/>
        <v>99</v>
      </c>
      <c r="B102" s="185">
        <f t="shared" si="3"/>
        <v>0</v>
      </c>
      <c r="C102" s="6">
        <v>99</v>
      </c>
      <c r="D102" s="185"/>
      <c r="E102" s="185"/>
      <c r="F102" s="185"/>
      <c r="G102" s="185"/>
      <c r="H102" s="185"/>
      <c r="I102" s="185"/>
    </row>
    <row r="103" spans="1:9">
      <c r="A103" s="6">
        <f t="shared" si="4"/>
        <v>100</v>
      </c>
      <c r="B103" s="185">
        <f t="shared" si="3"/>
        <v>0</v>
      </c>
      <c r="C103" s="6">
        <v>100</v>
      </c>
      <c r="D103" s="185"/>
      <c r="E103" s="185"/>
      <c r="F103" s="185"/>
      <c r="G103" s="185"/>
      <c r="H103" s="185"/>
      <c r="I103" s="185"/>
    </row>
    <row r="104" spans="1:9">
      <c r="A104" s="6">
        <f t="shared" si="4"/>
        <v>101</v>
      </c>
      <c r="B104" s="185">
        <f t="shared" si="3"/>
        <v>0</v>
      </c>
      <c r="C104" s="6">
        <v>101</v>
      </c>
      <c r="D104" s="185"/>
      <c r="E104" s="185"/>
      <c r="F104" s="185"/>
      <c r="G104" s="185"/>
      <c r="H104" s="185"/>
      <c r="I104" s="185"/>
    </row>
    <row r="105" spans="1:9">
      <c r="A105" s="6">
        <f t="shared" si="4"/>
        <v>102</v>
      </c>
      <c r="B105" s="185">
        <f t="shared" si="3"/>
        <v>0</v>
      </c>
      <c r="C105" s="6">
        <v>102</v>
      </c>
      <c r="D105" s="185"/>
      <c r="E105" s="185"/>
      <c r="F105" s="185"/>
      <c r="G105" s="185"/>
      <c r="H105" s="185"/>
      <c r="I105" s="185"/>
    </row>
    <row r="106" spans="1:9">
      <c r="A106" s="6">
        <f t="shared" si="4"/>
        <v>103</v>
      </c>
      <c r="B106" s="185">
        <f t="shared" si="3"/>
        <v>0</v>
      </c>
      <c r="C106" s="6">
        <v>103</v>
      </c>
      <c r="D106" s="185"/>
      <c r="E106" s="185"/>
      <c r="F106" s="185"/>
      <c r="G106" s="185"/>
      <c r="H106" s="185"/>
      <c r="I106" s="185"/>
    </row>
    <row r="107" spans="1:9">
      <c r="A107" s="6">
        <f t="shared" si="4"/>
        <v>104</v>
      </c>
      <c r="B107" s="185">
        <f t="shared" si="3"/>
        <v>0</v>
      </c>
      <c r="C107" s="6">
        <v>104</v>
      </c>
      <c r="D107" s="185"/>
      <c r="E107" s="185"/>
      <c r="F107" s="185"/>
      <c r="G107" s="185"/>
      <c r="H107" s="185"/>
      <c r="I107" s="185"/>
    </row>
    <row r="108" spans="1:9">
      <c r="A108" s="6">
        <f t="shared" si="4"/>
        <v>105</v>
      </c>
      <c r="B108" s="185">
        <f t="shared" si="3"/>
        <v>0</v>
      </c>
      <c r="C108" s="6">
        <v>105</v>
      </c>
      <c r="D108" s="185"/>
      <c r="E108" s="185"/>
      <c r="F108" s="185"/>
      <c r="G108" s="185"/>
      <c r="H108" s="185"/>
      <c r="I108" s="185"/>
    </row>
    <row r="109" spans="1:9">
      <c r="A109" s="6">
        <f t="shared" si="4"/>
        <v>106</v>
      </c>
      <c r="B109" s="185">
        <f t="shared" si="3"/>
        <v>0</v>
      </c>
      <c r="C109" s="6">
        <v>106</v>
      </c>
      <c r="D109" s="185"/>
      <c r="E109" s="185"/>
      <c r="F109" s="185"/>
      <c r="G109" s="185"/>
      <c r="H109" s="185"/>
      <c r="I109" s="185"/>
    </row>
    <row r="110" spans="1:9">
      <c r="A110" s="6">
        <f t="shared" si="4"/>
        <v>107</v>
      </c>
      <c r="B110" s="185">
        <f t="shared" si="3"/>
        <v>0</v>
      </c>
      <c r="C110" s="6">
        <v>107</v>
      </c>
      <c r="D110" s="185"/>
      <c r="E110" s="185"/>
      <c r="F110" s="185"/>
      <c r="G110" s="185"/>
      <c r="H110" s="185"/>
      <c r="I110" s="185"/>
    </row>
    <row r="111" spans="1:9">
      <c r="A111" s="6">
        <f t="shared" si="4"/>
        <v>108</v>
      </c>
      <c r="B111" s="185">
        <f t="shared" si="3"/>
        <v>0</v>
      </c>
      <c r="C111" s="6">
        <v>108</v>
      </c>
      <c r="D111" s="185"/>
      <c r="E111" s="185"/>
      <c r="F111" s="185"/>
      <c r="G111" s="185"/>
      <c r="H111" s="185"/>
      <c r="I111" s="185"/>
    </row>
    <row r="112" spans="1:9">
      <c r="A112" s="6">
        <f t="shared" si="4"/>
        <v>109</v>
      </c>
      <c r="B112" s="185">
        <f t="shared" si="3"/>
        <v>0</v>
      </c>
      <c r="C112" s="6">
        <v>109</v>
      </c>
      <c r="D112" s="185"/>
      <c r="E112" s="185"/>
      <c r="F112" s="185"/>
      <c r="G112" s="185"/>
      <c r="H112" s="185"/>
      <c r="I112" s="185"/>
    </row>
    <row r="113" spans="1:9">
      <c r="A113" s="6">
        <f t="shared" si="4"/>
        <v>110</v>
      </c>
      <c r="B113" s="185">
        <f t="shared" si="3"/>
        <v>0</v>
      </c>
      <c r="C113" s="6">
        <v>110</v>
      </c>
      <c r="D113" s="185"/>
      <c r="E113" s="185"/>
      <c r="F113" s="185"/>
      <c r="G113" s="185"/>
      <c r="H113" s="185"/>
      <c r="I113" s="185"/>
    </row>
    <row r="114" spans="1:9">
      <c r="A114" s="6">
        <f t="shared" si="4"/>
        <v>111</v>
      </c>
      <c r="B114" s="185">
        <f t="shared" si="3"/>
        <v>0</v>
      </c>
      <c r="C114" s="6">
        <v>111</v>
      </c>
      <c r="D114" s="185"/>
      <c r="E114" s="185"/>
      <c r="F114" s="185"/>
      <c r="G114" s="185"/>
      <c r="H114" s="185"/>
      <c r="I114" s="185"/>
    </row>
    <row r="115" spans="1:9">
      <c r="A115" s="6">
        <f t="shared" si="4"/>
        <v>112</v>
      </c>
      <c r="B115" s="185">
        <f t="shared" si="3"/>
        <v>0</v>
      </c>
      <c r="C115" s="6">
        <v>112</v>
      </c>
      <c r="D115" s="185"/>
      <c r="E115" s="185"/>
      <c r="F115" s="185"/>
      <c r="G115" s="185"/>
      <c r="H115" s="185"/>
      <c r="I115" s="185"/>
    </row>
    <row r="116" spans="1:9">
      <c r="A116" s="6">
        <f t="shared" si="4"/>
        <v>113</v>
      </c>
      <c r="B116" s="185">
        <f t="shared" si="3"/>
        <v>0</v>
      </c>
      <c r="C116" s="6">
        <v>113</v>
      </c>
      <c r="D116" s="185"/>
      <c r="E116" s="185"/>
      <c r="F116" s="185"/>
      <c r="G116" s="185"/>
      <c r="H116" s="185"/>
      <c r="I116" s="185"/>
    </row>
    <row r="117" spans="1:9">
      <c r="A117" s="6">
        <f t="shared" si="4"/>
        <v>114</v>
      </c>
      <c r="B117" s="185">
        <f t="shared" si="3"/>
        <v>0</v>
      </c>
      <c r="C117" s="6">
        <v>114</v>
      </c>
      <c r="D117" s="185"/>
      <c r="E117" s="185"/>
      <c r="F117" s="185"/>
      <c r="G117" s="185"/>
      <c r="H117" s="185"/>
      <c r="I117" s="185"/>
    </row>
    <row r="118" spans="1:9">
      <c r="A118" s="6">
        <f t="shared" si="4"/>
        <v>115</v>
      </c>
      <c r="B118" s="185">
        <f t="shared" si="3"/>
        <v>0</v>
      </c>
      <c r="C118" s="6">
        <v>115</v>
      </c>
      <c r="D118" s="185"/>
      <c r="E118" s="185"/>
      <c r="F118" s="185"/>
      <c r="G118" s="185"/>
      <c r="H118" s="185"/>
      <c r="I118" s="185"/>
    </row>
    <row r="119" spans="1:9">
      <c r="A119" s="6">
        <f t="shared" si="4"/>
        <v>116</v>
      </c>
      <c r="B119" s="185">
        <f t="shared" si="3"/>
        <v>0</v>
      </c>
      <c r="C119" s="6">
        <v>116</v>
      </c>
      <c r="D119" s="185"/>
      <c r="E119" s="185"/>
      <c r="F119" s="185"/>
      <c r="G119" s="185"/>
      <c r="H119" s="185"/>
      <c r="I119" s="185"/>
    </row>
    <row r="120" spans="1:9">
      <c r="A120" s="6">
        <f t="shared" si="4"/>
        <v>117</v>
      </c>
      <c r="B120" s="185">
        <f t="shared" si="3"/>
        <v>0</v>
      </c>
      <c r="C120" s="6">
        <v>117</v>
      </c>
      <c r="D120" s="185"/>
      <c r="E120" s="185"/>
      <c r="F120" s="185"/>
      <c r="G120" s="185"/>
      <c r="H120" s="185"/>
      <c r="I120" s="185"/>
    </row>
    <row r="121" spans="1:9">
      <c r="A121" s="6">
        <f t="shared" si="4"/>
        <v>118</v>
      </c>
      <c r="B121" s="185">
        <f t="shared" si="3"/>
        <v>0</v>
      </c>
      <c r="C121" s="6">
        <v>118</v>
      </c>
      <c r="D121" s="185"/>
      <c r="E121" s="185"/>
      <c r="F121" s="185"/>
      <c r="G121" s="185"/>
      <c r="H121" s="185"/>
      <c r="I121" s="185"/>
    </row>
    <row r="122" spans="1:9">
      <c r="A122" s="6">
        <f t="shared" si="4"/>
        <v>119</v>
      </c>
      <c r="B122" s="185">
        <f t="shared" si="3"/>
        <v>0</v>
      </c>
      <c r="C122" s="6">
        <v>119</v>
      </c>
      <c r="D122" s="185"/>
      <c r="E122" s="185"/>
      <c r="F122" s="185"/>
      <c r="G122" s="185"/>
      <c r="H122" s="185"/>
      <c r="I122" s="185"/>
    </row>
    <row r="123" spans="1:9">
      <c r="A123" s="6">
        <f t="shared" si="4"/>
        <v>120</v>
      </c>
      <c r="B123" s="185">
        <f t="shared" si="3"/>
        <v>0</v>
      </c>
      <c r="C123" s="6">
        <v>120</v>
      </c>
      <c r="D123" s="185"/>
      <c r="E123" s="185"/>
      <c r="F123" s="185"/>
      <c r="G123" s="185"/>
      <c r="H123" s="185"/>
      <c r="I123" s="185"/>
    </row>
    <row r="124" spans="1:9">
      <c r="A124" s="6">
        <f t="shared" si="4"/>
        <v>121</v>
      </c>
      <c r="B124" s="185">
        <f t="shared" si="3"/>
        <v>0</v>
      </c>
      <c r="C124" s="6">
        <v>121</v>
      </c>
      <c r="D124" s="185"/>
      <c r="E124" s="185"/>
      <c r="F124" s="185"/>
      <c r="G124" s="185"/>
      <c r="H124" s="185"/>
      <c r="I124" s="185"/>
    </row>
    <row r="125" spans="1:9">
      <c r="A125" s="6">
        <f t="shared" si="4"/>
        <v>122</v>
      </c>
      <c r="B125" s="185">
        <f t="shared" si="3"/>
        <v>0</v>
      </c>
      <c r="C125" s="6">
        <v>122</v>
      </c>
      <c r="D125" s="187"/>
      <c r="E125" s="187"/>
      <c r="F125" s="187"/>
      <c r="G125" s="187"/>
      <c r="H125" s="187"/>
      <c r="I125" s="187"/>
    </row>
    <row r="126" spans="1:9">
      <c r="A126" s="6">
        <f t="shared" si="4"/>
        <v>123</v>
      </c>
      <c r="B126" s="185">
        <f t="shared" si="3"/>
        <v>0</v>
      </c>
      <c r="C126" s="6">
        <v>123</v>
      </c>
      <c r="D126" s="188"/>
      <c r="E126" s="188"/>
      <c r="F126" s="188"/>
      <c r="G126" s="188"/>
      <c r="H126" s="188"/>
      <c r="I126" s="188"/>
    </row>
    <row r="127" spans="1:9">
      <c r="A127" s="6">
        <f t="shared" si="4"/>
        <v>124</v>
      </c>
      <c r="B127" s="185">
        <f t="shared" si="3"/>
        <v>0</v>
      </c>
      <c r="C127" s="6">
        <v>124</v>
      </c>
      <c r="D127" s="189"/>
      <c r="E127" s="189"/>
      <c r="F127" s="189"/>
      <c r="G127" s="189"/>
      <c r="H127" s="189"/>
      <c r="I127" s="189"/>
    </row>
    <row r="128" spans="1:9">
      <c r="A128" s="6">
        <f t="shared" si="4"/>
        <v>125</v>
      </c>
      <c r="B128" s="185">
        <f t="shared" si="3"/>
        <v>0</v>
      </c>
      <c r="C128" s="6">
        <v>125</v>
      </c>
      <c r="D128" s="187"/>
      <c r="E128" s="187"/>
      <c r="F128" s="187"/>
      <c r="G128" s="187"/>
      <c r="H128" s="187"/>
      <c r="I128" s="187"/>
    </row>
    <row r="129" spans="1:9">
      <c r="A129" s="6">
        <f t="shared" si="4"/>
        <v>126</v>
      </c>
      <c r="B129" s="185">
        <f t="shared" si="3"/>
        <v>0</v>
      </c>
      <c r="C129" s="6">
        <v>126</v>
      </c>
      <c r="D129" s="190"/>
      <c r="E129" s="190"/>
      <c r="F129" s="190"/>
      <c r="G129" s="190"/>
      <c r="H129" s="190"/>
      <c r="I129" s="190"/>
    </row>
    <row r="130" spans="1:9">
      <c r="A130" s="6">
        <f t="shared" si="4"/>
        <v>127</v>
      </c>
      <c r="B130" s="185">
        <f t="shared" si="3"/>
        <v>0</v>
      </c>
      <c r="C130" s="6">
        <v>127</v>
      </c>
      <c r="D130" s="190"/>
      <c r="E130" s="190"/>
      <c r="F130" s="190"/>
      <c r="G130" s="190"/>
      <c r="H130" s="190"/>
      <c r="I130" s="190"/>
    </row>
    <row r="131" spans="1:9">
      <c r="A131" s="6">
        <f t="shared" si="4"/>
        <v>128</v>
      </c>
      <c r="B131" s="185">
        <f t="shared" si="3"/>
        <v>0</v>
      </c>
      <c r="C131" s="6">
        <v>128</v>
      </c>
      <c r="D131" s="190"/>
      <c r="E131" s="190"/>
      <c r="F131" s="190"/>
      <c r="G131" s="190"/>
      <c r="H131" s="190"/>
      <c r="I131" s="190"/>
    </row>
    <row r="132" spans="1:9">
      <c r="A132" s="6">
        <f t="shared" si="4"/>
        <v>129</v>
      </c>
      <c r="B132" s="185">
        <f t="shared" ref="B132:B152" si="5">IF(ISBLANK(VLOOKUP(A132,$C$4:$V$10002,1+$A$1)),D132,VLOOKUP(A132,$C$4:$V$10002,1+$A$1))</f>
        <v>0</v>
      </c>
      <c r="C132" s="6">
        <v>129</v>
      </c>
      <c r="D132" s="190"/>
      <c r="E132" s="190"/>
      <c r="F132" s="190"/>
      <c r="G132" s="190"/>
      <c r="H132" s="190"/>
      <c r="I132" s="190"/>
    </row>
    <row r="133" spans="1:9">
      <c r="A133" s="6">
        <f t="shared" si="4"/>
        <v>130</v>
      </c>
      <c r="B133" s="185">
        <f t="shared" si="5"/>
        <v>0</v>
      </c>
      <c r="C133" s="6">
        <v>130</v>
      </c>
      <c r="D133" s="187"/>
      <c r="E133" s="187"/>
      <c r="F133" s="187"/>
      <c r="G133" s="187"/>
      <c r="H133" s="187"/>
      <c r="I133" s="187"/>
    </row>
    <row r="134" spans="1:9">
      <c r="A134" s="6">
        <f t="shared" si="4"/>
        <v>131</v>
      </c>
      <c r="B134" s="185">
        <f t="shared" si="5"/>
        <v>0</v>
      </c>
      <c r="C134" s="6">
        <v>131</v>
      </c>
      <c r="D134" s="185"/>
      <c r="E134" s="185"/>
      <c r="F134" s="185"/>
      <c r="G134" s="185"/>
      <c r="H134" s="185"/>
      <c r="I134" s="185"/>
    </row>
    <row r="135" spans="1:9">
      <c r="A135" s="6">
        <f t="shared" si="4"/>
        <v>132</v>
      </c>
      <c r="B135" s="185">
        <f t="shared" si="5"/>
        <v>0</v>
      </c>
      <c r="C135" s="6">
        <v>132</v>
      </c>
      <c r="D135" s="185"/>
      <c r="E135" s="185"/>
      <c r="F135" s="185"/>
      <c r="G135" s="185"/>
      <c r="H135" s="185"/>
      <c r="I135" s="185"/>
    </row>
    <row r="136" spans="1:9">
      <c r="A136" s="6">
        <f t="shared" si="4"/>
        <v>133</v>
      </c>
      <c r="B136" s="185">
        <f t="shared" si="5"/>
        <v>0</v>
      </c>
      <c r="C136" s="6">
        <v>133</v>
      </c>
      <c r="D136" s="185"/>
      <c r="E136" s="185"/>
      <c r="F136" s="185"/>
      <c r="G136" s="185"/>
      <c r="H136" s="185"/>
      <c r="I136" s="185"/>
    </row>
    <row r="137" spans="1:9">
      <c r="A137" s="6">
        <f t="shared" si="4"/>
        <v>134</v>
      </c>
      <c r="B137" s="185">
        <f t="shared" si="5"/>
        <v>0</v>
      </c>
      <c r="C137" s="6">
        <v>134</v>
      </c>
      <c r="D137" s="185"/>
      <c r="E137" s="185"/>
      <c r="F137" s="185"/>
      <c r="G137" s="185"/>
      <c r="H137" s="185"/>
      <c r="I137" s="185"/>
    </row>
    <row r="138" spans="1:9">
      <c r="A138" s="6">
        <f t="shared" si="4"/>
        <v>135</v>
      </c>
      <c r="B138" s="185">
        <f t="shared" si="5"/>
        <v>0</v>
      </c>
      <c r="C138" s="6">
        <v>135</v>
      </c>
      <c r="D138" s="185"/>
      <c r="E138" s="185"/>
      <c r="F138" s="185"/>
      <c r="G138" s="185"/>
      <c r="H138" s="185"/>
      <c r="I138" s="185"/>
    </row>
    <row r="139" spans="1:9">
      <c r="A139" s="6">
        <f t="shared" si="4"/>
        <v>136</v>
      </c>
      <c r="B139" s="185">
        <f t="shared" si="5"/>
        <v>0</v>
      </c>
      <c r="C139" s="6">
        <v>136</v>
      </c>
      <c r="D139" s="185"/>
      <c r="E139" s="185"/>
      <c r="F139" s="185"/>
      <c r="G139" s="185"/>
      <c r="H139" s="185"/>
      <c r="I139" s="185"/>
    </row>
    <row r="140" spans="1:9">
      <c r="A140" s="6">
        <f t="shared" si="4"/>
        <v>137</v>
      </c>
      <c r="B140" s="185">
        <f t="shared" si="5"/>
        <v>0</v>
      </c>
      <c r="C140" s="6">
        <v>137</v>
      </c>
      <c r="D140" s="185"/>
      <c r="E140" s="185"/>
      <c r="F140" s="185"/>
      <c r="G140" s="185"/>
      <c r="H140" s="185"/>
      <c r="I140" s="185"/>
    </row>
    <row r="141" spans="1:9">
      <c r="A141" s="6">
        <f t="shared" si="4"/>
        <v>138</v>
      </c>
      <c r="B141" s="185">
        <f t="shared" si="5"/>
        <v>0</v>
      </c>
      <c r="C141" s="6">
        <v>138</v>
      </c>
      <c r="D141" s="185"/>
      <c r="E141" s="185"/>
      <c r="F141" s="185"/>
      <c r="G141" s="185"/>
      <c r="H141" s="185"/>
      <c r="I141" s="185"/>
    </row>
    <row r="142" spans="1:9">
      <c r="A142" s="6">
        <f t="shared" si="4"/>
        <v>139</v>
      </c>
      <c r="B142" s="185">
        <f t="shared" si="5"/>
        <v>0</v>
      </c>
      <c r="C142" s="6">
        <v>139</v>
      </c>
      <c r="D142" s="185"/>
      <c r="E142" s="185"/>
      <c r="F142" s="185"/>
      <c r="G142" s="185"/>
      <c r="H142" s="185"/>
      <c r="I142" s="185"/>
    </row>
    <row r="143" spans="1:9">
      <c r="A143" s="6">
        <f t="shared" si="4"/>
        <v>140</v>
      </c>
      <c r="B143" s="185">
        <f t="shared" si="5"/>
        <v>0</v>
      </c>
      <c r="C143" s="6">
        <v>140</v>
      </c>
      <c r="D143" s="185"/>
      <c r="E143" s="185"/>
      <c r="F143" s="185"/>
      <c r="G143" s="185"/>
      <c r="H143" s="185"/>
      <c r="I143" s="185"/>
    </row>
    <row r="144" spans="1:9">
      <c r="A144" s="6">
        <f t="shared" si="4"/>
        <v>141</v>
      </c>
      <c r="B144" s="185">
        <f t="shared" si="5"/>
        <v>0</v>
      </c>
      <c r="C144" s="6">
        <v>141</v>
      </c>
      <c r="D144" s="185"/>
      <c r="E144" s="185"/>
      <c r="F144" s="185"/>
      <c r="G144" s="185"/>
      <c r="H144" s="185"/>
      <c r="I144" s="185"/>
    </row>
    <row r="145" spans="1:9">
      <c r="A145" s="6">
        <f t="shared" si="4"/>
        <v>142</v>
      </c>
      <c r="B145" s="185">
        <f t="shared" si="5"/>
        <v>0</v>
      </c>
      <c r="C145" s="6">
        <v>142</v>
      </c>
      <c r="D145" s="185"/>
      <c r="E145" s="185"/>
      <c r="F145" s="185"/>
      <c r="G145" s="185"/>
      <c r="H145" s="185"/>
      <c r="I145" s="185"/>
    </row>
    <row r="146" spans="1:9">
      <c r="A146" s="6">
        <f t="shared" si="4"/>
        <v>143</v>
      </c>
      <c r="B146" s="185">
        <f t="shared" si="5"/>
        <v>0</v>
      </c>
      <c r="C146" s="6">
        <v>143</v>
      </c>
      <c r="D146" s="185"/>
      <c r="E146" s="185"/>
      <c r="F146" s="185"/>
      <c r="G146" s="185"/>
      <c r="H146" s="185"/>
      <c r="I146" s="185"/>
    </row>
    <row r="147" spans="1:9">
      <c r="A147" s="6">
        <f t="shared" si="4"/>
        <v>144</v>
      </c>
      <c r="B147" s="185">
        <f t="shared" si="5"/>
        <v>0</v>
      </c>
      <c r="C147" s="6">
        <v>144</v>
      </c>
      <c r="D147" s="185"/>
      <c r="E147" s="185"/>
      <c r="F147" s="185"/>
      <c r="G147" s="185"/>
      <c r="H147" s="185"/>
      <c r="I147" s="185"/>
    </row>
    <row r="148" spans="1:9">
      <c r="A148" s="6">
        <f t="shared" si="4"/>
        <v>145</v>
      </c>
      <c r="B148" s="185">
        <f t="shared" si="5"/>
        <v>0</v>
      </c>
      <c r="C148" s="6">
        <v>145</v>
      </c>
      <c r="D148" s="185"/>
      <c r="E148" s="185"/>
      <c r="F148" s="185"/>
      <c r="G148" s="185"/>
      <c r="H148" s="185"/>
      <c r="I148" s="185"/>
    </row>
    <row r="149" spans="1:9">
      <c r="A149" s="6">
        <f t="shared" ref="A149:A152" si="6">C149</f>
        <v>146</v>
      </c>
      <c r="B149" s="185">
        <f t="shared" si="5"/>
        <v>0</v>
      </c>
      <c r="C149" s="6">
        <v>146</v>
      </c>
      <c r="D149" s="185"/>
      <c r="E149" s="185"/>
      <c r="F149" s="185"/>
      <c r="G149" s="185"/>
      <c r="H149" s="185"/>
      <c r="I149" s="185"/>
    </row>
    <row r="150" spans="1:9">
      <c r="A150" s="6">
        <f t="shared" si="6"/>
        <v>147</v>
      </c>
      <c r="B150" s="185">
        <f t="shared" si="5"/>
        <v>0</v>
      </c>
      <c r="C150" s="6">
        <v>147</v>
      </c>
      <c r="D150" s="185"/>
      <c r="E150" s="185"/>
      <c r="F150" s="185"/>
      <c r="G150" s="185"/>
      <c r="H150" s="185"/>
      <c r="I150" s="185"/>
    </row>
    <row r="151" spans="1:9">
      <c r="A151" s="6">
        <f t="shared" si="6"/>
        <v>148</v>
      </c>
      <c r="B151" s="185">
        <f t="shared" si="5"/>
        <v>0</v>
      </c>
      <c r="C151" s="6">
        <v>148</v>
      </c>
      <c r="D151" s="185"/>
      <c r="E151" s="185"/>
      <c r="F151" s="185"/>
      <c r="G151" s="185"/>
      <c r="H151" s="185"/>
      <c r="I151" s="185"/>
    </row>
    <row r="152" spans="1:9">
      <c r="A152" s="6">
        <f t="shared" si="6"/>
        <v>149</v>
      </c>
      <c r="B152" s="185">
        <f t="shared" si="5"/>
        <v>0</v>
      </c>
      <c r="C152" s="6">
        <v>149</v>
      </c>
      <c r="D152" s="185"/>
      <c r="E152" s="185"/>
      <c r="F152" s="185"/>
      <c r="G152" s="185"/>
      <c r="H152" s="185"/>
      <c r="I152" s="185"/>
    </row>
    <row r="153" spans="1:9">
      <c r="B153" s="185"/>
      <c r="D153" s="185"/>
      <c r="E153" s="185"/>
      <c r="F153" s="185"/>
      <c r="G153" s="185"/>
      <c r="H153" s="185"/>
      <c r="I153" s="185"/>
    </row>
    <row r="154" spans="1:9">
      <c r="B154" s="185"/>
      <c r="D154" s="185"/>
      <c r="E154" s="185"/>
      <c r="F154" s="185"/>
      <c r="G154" s="185"/>
      <c r="H154" s="185"/>
      <c r="I154" s="185"/>
    </row>
    <row r="155" spans="1:9">
      <c r="B155" s="185"/>
      <c r="D155" s="185"/>
      <c r="E155" s="185"/>
      <c r="F155" s="185"/>
      <c r="G155" s="185"/>
      <c r="H155" s="185"/>
      <c r="I155" s="185"/>
    </row>
    <row r="156" spans="1:9">
      <c r="B156" s="185"/>
      <c r="D156" s="187"/>
      <c r="E156" s="187"/>
      <c r="F156" s="187"/>
      <c r="G156" s="187"/>
      <c r="H156" s="187"/>
      <c r="I156" s="187"/>
    </row>
    <row r="157" spans="1:9">
      <c r="B157" s="185"/>
      <c r="D157" s="190"/>
      <c r="E157" s="190"/>
      <c r="F157" s="190"/>
      <c r="G157" s="190"/>
      <c r="H157" s="190"/>
      <c r="I157" s="190"/>
    </row>
    <row r="158" spans="1:9">
      <c r="B158" s="185"/>
      <c r="D158" s="190"/>
      <c r="E158" s="190"/>
      <c r="F158" s="190"/>
      <c r="G158" s="190"/>
      <c r="H158" s="190"/>
      <c r="I158" s="190"/>
    </row>
    <row r="159" spans="1:9">
      <c r="B159" s="185"/>
      <c r="D159" s="190"/>
      <c r="E159" s="190"/>
      <c r="F159" s="190"/>
      <c r="G159" s="190"/>
      <c r="H159" s="190"/>
      <c r="I159" s="190"/>
    </row>
    <row r="160" spans="1:9">
      <c r="B160" s="185"/>
      <c r="D160" s="187"/>
      <c r="E160" s="187"/>
      <c r="F160" s="187"/>
      <c r="G160" s="187"/>
      <c r="H160" s="187"/>
      <c r="I160" s="187"/>
    </row>
    <row r="161" spans="2:9">
      <c r="B161" s="185"/>
      <c r="D161" s="188"/>
      <c r="E161" s="188"/>
      <c r="F161" s="188"/>
      <c r="G161" s="188"/>
      <c r="H161" s="188"/>
      <c r="I161" s="188"/>
    </row>
    <row r="162" spans="2:9">
      <c r="B162" s="185"/>
      <c r="D162" s="188"/>
      <c r="E162" s="188"/>
      <c r="F162" s="188"/>
      <c r="G162" s="188"/>
      <c r="H162" s="188"/>
      <c r="I162" s="188"/>
    </row>
    <row r="163" spans="2:9">
      <c r="B163" s="185"/>
      <c r="D163" s="187"/>
      <c r="E163" s="187"/>
      <c r="F163" s="187"/>
      <c r="G163" s="187"/>
      <c r="H163" s="187"/>
      <c r="I163" s="187"/>
    </row>
    <row r="164" spans="2:9">
      <c r="B164" s="185"/>
      <c r="D164" s="187"/>
      <c r="E164" s="187"/>
      <c r="F164" s="187"/>
      <c r="G164" s="187"/>
      <c r="H164" s="187"/>
      <c r="I164" s="187"/>
    </row>
    <row r="165" spans="2:9">
      <c r="B165" s="185"/>
      <c r="D165" s="187"/>
      <c r="E165" s="187"/>
      <c r="F165" s="187"/>
      <c r="G165" s="187"/>
      <c r="H165" s="187"/>
      <c r="I165" s="187"/>
    </row>
    <row r="166" spans="2:9">
      <c r="B166" s="185"/>
      <c r="D166" s="187"/>
      <c r="E166" s="187"/>
      <c r="F166" s="187"/>
      <c r="G166" s="187"/>
      <c r="H166" s="187"/>
      <c r="I166" s="187"/>
    </row>
    <row r="167" spans="2:9">
      <c r="B167" s="185"/>
      <c r="D167" s="187"/>
      <c r="E167" s="187"/>
      <c r="F167" s="187"/>
      <c r="G167" s="187"/>
      <c r="H167" s="187"/>
      <c r="I167" s="187"/>
    </row>
    <row r="168" spans="2:9">
      <c r="B168" s="185"/>
      <c r="D168" s="187"/>
      <c r="E168" s="187"/>
      <c r="F168" s="187"/>
      <c r="G168" s="187"/>
      <c r="H168" s="187"/>
      <c r="I168" s="187"/>
    </row>
    <row r="169" spans="2:9">
      <c r="B169" s="185"/>
      <c r="D169" s="188"/>
      <c r="E169" s="188"/>
      <c r="F169" s="188"/>
      <c r="G169" s="188"/>
      <c r="H169" s="188"/>
      <c r="I169" s="188"/>
    </row>
    <row r="170" spans="2:9">
      <c r="B170" s="185"/>
      <c r="D170" s="188"/>
      <c r="E170" s="188"/>
      <c r="F170" s="188"/>
      <c r="G170" s="188"/>
      <c r="H170" s="188"/>
      <c r="I170" s="188"/>
    </row>
    <row r="171" spans="2:9">
      <c r="B171" s="185"/>
      <c r="D171" s="187"/>
      <c r="E171" s="187"/>
      <c r="F171" s="187"/>
      <c r="G171" s="187"/>
      <c r="H171" s="187"/>
      <c r="I171" s="187"/>
    </row>
    <row r="172" spans="2:9">
      <c r="B172" s="185"/>
      <c r="D172" s="190"/>
      <c r="E172" s="190"/>
      <c r="F172" s="190"/>
      <c r="G172" s="190"/>
      <c r="H172" s="190"/>
      <c r="I172" s="190"/>
    </row>
    <row r="173" spans="2:9">
      <c r="B173" s="185"/>
      <c r="D173" s="190"/>
      <c r="E173" s="190"/>
      <c r="F173" s="190"/>
      <c r="G173" s="190"/>
      <c r="H173" s="190"/>
      <c r="I173" s="190"/>
    </row>
    <row r="174" spans="2:9">
      <c r="B174" s="185"/>
      <c r="D174" s="190"/>
      <c r="E174" s="190"/>
      <c r="F174" s="190"/>
      <c r="G174" s="190"/>
      <c r="H174" s="190"/>
      <c r="I174" s="190"/>
    </row>
    <row r="175" spans="2:9">
      <c r="B175" s="185"/>
      <c r="D175" s="191"/>
      <c r="E175" s="191"/>
      <c r="F175" s="191"/>
      <c r="G175" s="191"/>
      <c r="H175" s="191"/>
      <c r="I175" s="191"/>
    </row>
    <row r="176" spans="2:9">
      <c r="B176" s="185"/>
      <c r="D176" s="187"/>
      <c r="E176" s="187"/>
      <c r="F176" s="187"/>
      <c r="G176" s="187"/>
      <c r="H176" s="187"/>
      <c r="I176" s="187"/>
    </row>
    <row r="177" spans="2:9">
      <c r="B177" s="185"/>
      <c r="D177" s="190"/>
      <c r="E177" s="190"/>
      <c r="F177" s="190"/>
      <c r="G177" s="190"/>
      <c r="H177" s="190"/>
      <c r="I177" s="190"/>
    </row>
    <row r="178" spans="2:9">
      <c r="B178" s="185"/>
      <c r="D178" s="190"/>
      <c r="E178" s="190"/>
      <c r="F178" s="190"/>
      <c r="G178" s="190"/>
      <c r="H178" s="190"/>
      <c r="I178" s="190"/>
    </row>
    <row r="179" spans="2:9">
      <c r="B179" s="185"/>
      <c r="D179" s="190"/>
      <c r="E179" s="190"/>
      <c r="F179" s="190"/>
      <c r="G179" s="190"/>
      <c r="H179" s="190"/>
      <c r="I179" s="190"/>
    </row>
    <row r="180" spans="2:9">
      <c r="B180" s="185"/>
      <c r="D180" s="187"/>
      <c r="E180" s="187"/>
      <c r="F180" s="187"/>
      <c r="G180" s="187"/>
      <c r="H180" s="187"/>
      <c r="I180" s="187"/>
    </row>
    <row r="181" spans="2:9">
      <c r="B181" s="185"/>
      <c r="D181" s="190"/>
      <c r="E181" s="190"/>
      <c r="F181" s="190"/>
      <c r="G181" s="190"/>
      <c r="H181" s="190"/>
      <c r="I181" s="190"/>
    </row>
    <row r="182" spans="2:9">
      <c r="B182" s="185"/>
      <c r="D182" s="190"/>
      <c r="E182" s="190"/>
      <c r="F182" s="190"/>
      <c r="G182" s="190"/>
      <c r="H182" s="190"/>
      <c r="I182" s="190"/>
    </row>
    <row r="183" spans="2:9">
      <c r="B183" s="185"/>
      <c r="D183" s="190"/>
      <c r="E183" s="190"/>
      <c r="F183" s="190"/>
      <c r="G183" s="190"/>
      <c r="H183" s="190"/>
      <c r="I183" s="190"/>
    </row>
    <row r="184" spans="2:9">
      <c r="B184" s="185"/>
      <c r="D184" s="190"/>
      <c r="E184" s="190"/>
      <c r="F184" s="190"/>
      <c r="G184" s="190"/>
      <c r="H184" s="190"/>
      <c r="I184" s="190"/>
    </row>
    <row r="185" spans="2:9">
      <c r="B185" s="185"/>
      <c r="D185" s="190"/>
      <c r="E185" s="190"/>
      <c r="F185" s="190"/>
      <c r="G185" s="190"/>
      <c r="H185" s="190"/>
      <c r="I185" s="190"/>
    </row>
    <row r="186" spans="2:9">
      <c r="B186" s="185"/>
      <c r="D186" s="190"/>
      <c r="E186" s="190"/>
      <c r="F186" s="190"/>
      <c r="G186" s="190"/>
      <c r="H186" s="190"/>
      <c r="I186" s="190"/>
    </row>
    <row r="187" spans="2:9">
      <c r="B187" s="185"/>
      <c r="D187" s="190"/>
      <c r="E187" s="190"/>
      <c r="F187" s="190"/>
      <c r="G187" s="190"/>
      <c r="H187" s="190"/>
      <c r="I187" s="190"/>
    </row>
    <row r="188" spans="2:9">
      <c r="B188" s="185"/>
      <c r="D188" s="190"/>
      <c r="E188" s="190"/>
      <c r="F188" s="190"/>
      <c r="G188" s="190"/>
      <c r="H188" s="190"/>
      <c r="I188" s="190"/>
    </row>
    <row r="189" spans="2:9">
      <c r="B189" s="185"/>
      <c r="D189" s="187"/>
      <c r="E189" s="187"/>
      <c r="F189" s="187"/>
      <c r="G189" s="187"/>
      <c r="H189" s="187"/>
      <c r="I189" s="187"/>
    </row>
    <row r="190" spans="2:9">
      <c r="B190" s="185"/>
      <c r="D190" s="187"/>
      <c r="E190" s="187"/>
      <c r="F190" s="187"/>
      <c r="G190" s="187"/>
      <c r="H190" s="187"/>
      <c r="I190" s="187"/>
    </row>
    <row r="191" spans="2:9">
      <c r="B191" s="185"/>
      <c r="D191" s="188"/>
      <c r="E191" s="188"/>
      <c r="F191" s="188"/>
      <c r="G191" s="188"/>
      <c r="H191" s="188"/>
      <c r="I191" s="188"/>
    </row>
    <row r="192" spans="2:9">
      <c r="B192" s="185"/>
      <c r="D192" s="188"/>
      <c r="E192" s="188"/>
      <c r="F192" s="188"/>
      <c r="G192" s="188"/>
      <c r="H192" s="188"/>
      <c r="I192" s="188"/>
    </row>
    <row r="193" spans="2:9">
      <c r="B193" s="185"/>
      <c r="D193" s="187"/>
      <c r="E193" s="187"/>
      <c r="F193" s="187"/>
      <c r="G193" s="187"/>
      <c r="H193" s="187"/>
      <c r="I193" s="187"/>
    </row>
    <row r="194" spans="2:9">
      <c r="B194" s="185"/>
      <c r="D194" s="190"/>
      <c r="E194" s="190"/>
      <c r="F194" s="190"/>
      <c r="G194" s="190"/>
      <c r="H194" s="190"/>
      <c r="I194" s="190"/>
    </row>
    <row r="195" spans="2:9">
      <c r="B195" s="185"/>
      <c r="D195" s="190"/>
      <c r="E195" s="190"/>
      <c r="F195" s="190"/>
      <c r="G195" s="190"/>
      <c r="H195" s="190"/>
      <c r="I195" s="190"/>
    </row>
    <row r="196" spans="2:9">
      <c r="B196" s="185"/>
      <c r="D196" s="190"/>
      <c r="E196" s="190"/>
      <c r="F196" s="190"/>
      <c r="G196" s="190"/>
      <c r="H196" s="190"/>
      <c r="I196" s="190"/>
    </row>
    <row r="197" spans="2:9">
      <c r="B197" s="185"/>
      <c r="D197" s="190"/>
      <c r="E197" s="190"/>
      <c r="F197" s="190"/>
      <c r="G197" s="190"/>
      <c r="H197" s="190"/>
      <c r="I197" s="190"/>
    </row>
    <row r="198" spans="2:9">
      <c r="B198" s="185"/>
      <c r="D198" s="187"/>
      <c r="E198" s="187"/>
      <c r="F198" s="187"/>
      <c r="G198" s="187"/>
      <c r="H198" s="187"/>
      <c r="I198" s="187"/>
    </row>
    <row r="199" spans="2:9">
      <c r="B199" s="185"/>
      <c r="D199" s="188"/>
      <c r="E199" s="188"/>
      <c r="F199" s="188"/>
      <c r="G199" s="188"/>
      <c r="H199" s="188"/>
      <c r="I199" s="188"/>
    </row>
    <row r="200" spans="2:9">
      <c r="B200" s="185"/>
      <c r="D200" s="188"/>
      <c r="E200" s="188"/>
      <c r="F200" s="188"/>
      <c r="G200" s="188"/>
      <c r="H200" s="188"/>
      <c r="I200" s="188"/>
    </row>
    <row r="201" spans="2:9">
      <c r="B201" s="185"/>
      <c r="D201" s="187"/>
      <c r="E201" s="187"/>
      <c r="F201" s="187"/>
      <c r="G201" s="187"/>
      <c r="H201" s="187"/>
      <c r="I201" s="187"/>
    </row>
    <row r="202" spans="2:9">
      <c r="B202" s="185"/>
      <c r="D202" s="190"/>
      <c r="E202" s="190"/>
      <c r="F202" s="190"/>
      <c r="G202" s="190"/>
      <c r="H202" s="190"/>
      <c r="I202" s="190"/>
    </row>
    <row r="203" spans="2:9">
      <c r="B203" s="185"/>
      <c r="D203" s="190"/>
      <c r="E203" s="190"/>
      <c r="F203" s="190"/>
      <c r="G203" s="190"/>
      <c r="H203" s="190"/>
      <c r="I203" s="190"/>
    </row>
    <row r="204" spans="2:9">
      <c r="B204" s="185"/>
      <c r="D204" s="190"/>
      <c r="E204" s="190"/>
      <c r="F204" s="190"/>
      <c r="G204" s="190"/>
      <c r="H204" s="190"/>
      <c r="I204" s="190"/>
    </row>
    <row r="205" spans="2:9">
      <c r="B205" s="185"/>
      <c r="D205" s="187"/>
      <c r="E205" s="187"/>
      <c r="F205" s="187"/>
      <c r="G205" s="187"/>
      <c r="H205" s="187"/>
      <c r="I205" s="187"/>
    </row>
    <row r="206" spans="2:9">
      <c r="B206" s="185"/>
      <c r="D206" s="187"/>
      <c r="E206" s="187"/>
      <c r="F206" s="187"/>
      <c r="G206" s="187"/>
      <c r="H206" s="187"/>
      <c r="I206" s="187"/>
    </row>
    <row r="207" spans="2:9">
      <c r="B207" s="185"/>
      <c r="D207" s="187"/>
      <c r="E207" s="187"/>
      <c r="F207" s="187"/>
      <c r="G207" s="187"/>
      <c r="H207" s="187"/>
      <c r="I207" s="187"/>
    </row>
    <row r="208" spans="2:9">
      <c r="B208" s="185"/>
      <c r="D208" s="188"/>
      <c r="E208" s="188"/>
      <c r="F208" s="188"/>
      <c r="G208" s="188"/>
      <c r="H208" s="188"/>
      <c r="I208" s="188"/>
    </row>
    <row r="209" spans="2:9">
      <c r="B209" s="185"/>
      <c r="D209" s="188"/>
      <c r="E209" s="188"/>
      <c r="F209" s="188"/>
      <c r="G209" s="188"/>
      <c r="H209" s="188"/>
      <c r="I209" s="188"/>
    </row>
    <row r="210" spans="2:9">
      <c r="B210" s="185"/>
      <c r="D210" s="185"/>
      <c r="E210" s="185"/>
      <c r="F210" s="185"/>
      <c r="G210" s="185"/>
      <c r="H210" s="185"/>
      <c r="I210" s="185"/>
    </row>
    <row r="211" spans="2:9">
      <c r="B211" s="185"/>
      <c r="D211" s="185"/>
      <c r="E211" s="185"/>
      <c r="F211" s="185"/>
      <c r="G211" s="185"/>
      <c r="H211" s="185"/>
      <c r="I211" s="185"/>
    </row>
    <row r="212" spans="2:9">
      <c r="B212" s="185"/>
      <c r="D212" s="185"/>
      <c r="E212" s="185"/>
      <c r="F212" s="185"/>
      <c r="G212" s="185"/>
      <c r="H212" s="185"/>
      <c r="I212" s="185"/>
    </row>
    <row r="213" spans="2:9">
      <c r="B213" s="185"/>
      <c r="D213" s="185"/>
      <c r="E213" s="185"/>
      <c r="F213" s="185"/>
      <c r="G213" s="185"/>
      <c r="H213" s="185"/>
      <c r="I213" s="185"/>
    </row>
    <row r="214" spans="2:9">
      <c r="B214" s="185"/>
      <c r="D214" s="185"/>
      <c r="E214" s="185"/>
      <c r="F214" s="185"/>
      <c r="G214" s="185"/>
      <c r="H214" s="185"/>
      <c r="I214" s="185"/>
    </row>
    <row r="215" spans="2:9">
      <c r="B215" s="185"/>
      <c r="D215" s="185"/>
      <c r="E215" s="185"/>
      <c r="F215" s="185"/>
      <c r="G215" s="185"/>
      <c r="H215" s="185"/>
      <c r="I215" s="185"/>
    </row>
    <row r="216" spans="2:9">
      <c r="B216" s="185"/>
      <c r="D216" s="185"/>
      <c r="E216" s="185"/>
      <c r="F216" s="185"/>
      <c r="G216" s="185"/>
      <c r="H216" s="185"/>
      <c r="I216" s="185"/>
    </row>
    <row r="217" spans="2:9">
      <c r="B217" s="185"/>
      <c r="D217" s="185"/>
      <c r="E217" s="185"/>
      <c r="F217" s="185"/>
      <c r="G217" s="185"/>
      <c r="H217" s="185"/>
      <c r="I217" s="185"/>
    </row>
    <row r="218" spans="2:9">
      <c r="B218" s="185"/>
      <c r="D218" s="185"/>
      <c r="E218" s="185"/>
      <c r="F218" s="185"/>
      <c r="G218" s="185"/>
      <c r="H218" s="185"/>
      <c r="I218" s="185"/>
    </row>
    <row r="219" spans="2:9">
      <c r="B219" s="185"/>
      <c r="D219" s="185"/>
      <c r="E219" s="185"/>
      <c r="F219" s="185"/>
      <c r="G219" s="185"/>
      <c r="H219" s="185"/>
      <c r="I219" s="185"/>
    </row>
    <row r="220" spans="2:9">
      <c r="B220" s="185"/>
      <c r="D220" s="185"/>
      <c r="E220" s="185"/>
      <c r="F220" s="185"/>
      <c r="G220" s="185"/>
      <c r="H220" s="185"/>
      <c r="I220" s="185"/>
    </row>
    <row r="221" spans="2:9">
      <c r="B221" s="185"/>
      <c r="D221" s="185"/>
      <c r="E221" s="185"/>
      <c r="F221" s="185"/>
      <c r="G221" s="185"/>
      <c r="H221" s="185"/>
      <c r="I221" s="185"/>
    </row>
    <row r="222" spans="2:9">
      <c r="B222" s="185"/>
      <c r="D222" s="185"/>
      <c r="E222" s="185"/>
      <c r="F222" s="185"/>
      <c r="G222" s="185"/>
      <c r="H222" s="185"/>
      <c r="I222" s="185"/>
    </row>
    <row r="223" spans="2:9">
      <c r="B223" s="185"/>
      <c r="D223" s="185"/>
      <c r="E223" s="185"/>
      <c r="F223" s="185"/>
      <c r="G223" s="185"/>
      <c r="H223" s="185"/>
      <c r="I223" s="185"/>
    </row>
    <row r="224" spans="2:9">
      <c r="B224" s="185"/>
      <c r="D224" s="185"/>
      <c r="E224" s="185"/>
      <c r="F224" s="185"/>
      <c r="G224" s="185"/>
      <c r="H224" s="185"/>
      <c r="I224" s="185"/>
    </row>
    <row r="225" spans="2:9">
      <c r="B225" s="185"/>
      <c r="D225" s="185"/>
      <c r="E225" s="185"/>
      <c r="F225" s="185"/>
      <c r="G225" s="185"/>
      <c r="H225" s="185"/>
      <c r="I225" s="185"/>
    </row>
    <row r="226" spans="2:9">
      <c r="B226" s="185"/>
      <c r="D226" s="185"/>
      <c r="E226" s="185"/>
      <c r="F226" s="185"/>
      <c r="G226" s="185"/>
      <c r="H226" s="185"/>
      <c r="I226" s="185"/>
    </row>
    <row r="227" spans="2:9">
      <c r="B227" s="185"/>
      <c r="D227" s="185"/>
      <c r="E227" s="185"/>
      <c r="F227" s="185"/>
      <c r="G227" s="185"/>
      <c r="H227" s="185"/>
      <c r="I227" s="185"/>
    </row>
    <row r="228" spans="2:9">
      <c r="B228" s="185"/>
      <c r="D228" s="185"/>
      <c r="E228" s="185"/>
      <c r="F228" s="185"/>
      <c r="G228" s="185"/>
      <c r="H228" s="185"/>
      <c r="I228" s="185"/>
    </row>
    <row r="229" spans="2:9">
      <c r="B229" s="185"/>
      <c r="D229" s="185"/>
      <c r="E229" s="185"/>
      <c r="F229" s="185"/>
      <c r="G229" s="185"/>
      <c r="H229" s="185"/>
      <c r="I229" s="185"/>
    </row>
    <row r="230" spans="2:9">
      <c r="B230" s="185"/>
      <c r="D230" s="185"/>
      <c r="E230" s="185"/>
      <c r="F230" s="185"/>
      <c r="G230" s="185"/>
      <c r="H230" s="185"/>
      <c r="I230" s="185"/>
    </row>
    <row r="231" spans="2:9">
      <c r="B231" s="185"/>
      <c r="D231" s="185"/>
      <c r="E231" s="185"/>
      <c r="F231" s="185"/>
      <c r="G231" s="185"/>
      <c r="H231" s="185"/>
      <c r="I231" s="185"/>
    </row>
    <row r="232" spans="2:9">
      <c r="B232" s="185"/>
      <c r="D232" s="185"/>
      <c r="E232" s="185"/>
      <c r="F232" s="185"/>
      <c r="G232" s="185"/>
      <c r="H232" s="185"/>
      <c r="I232" s="185"/>
    </row>
    <row r="233" spans="2:9">
      <c r="B233" s="185"/>
      <c r="D233" s="185"/>
      <c r="E233" s="185"/>
      <c r="F233" s="185"/>
      <c r="G233" s="185"/>
      <c r="H233" s="185"/>
      <c r="I233" s="185"/>
    </row>
    <row r="234" spans="2:9">
      <c r="B234" s="185"/>
      <c r="D234" s="185"/>
      <c r="E234" s="185"/>
      <c r="F234" s="185"/>
      <c r="G234" s="185"/>
      <c r="H234" s="185"/>
      <c r="I234" s="185"/>
    </row>
    <row r="235" spans="2:9">
      <c r="B235" s="185"/>
      <c r="D235" s="185"/>
      <c r="E235" s="185"/>
      <c r="F235" s="185"/>
      <c r="G235" s="185"/>
      <c r="H235" s="185"/>
      <c r="I235" s="185"/>
    </row>
    <row r="236" spans="2:9">
      <c r="B236" s="185"/>
      <c r="D236" s="185"/>
      <c r="E236" s="185"/>
      <c r="F236" s="185"/>
      <c r="G236" s="185"/>
      <c r="H236" s="185"/>
      <c r="I236" s="185"/>
    </row>
    <row r="237" spans="2:9">
      <c r="B237" s="185"/>
      <c r="D237" s="185"/>
      <c r="E237" s="185"/>
      <c r="F237" s="185"/>
      <c r="G237" s="185"/>
      <c r="H237" s="185"/>
      <c r="I237" s="185"/>
    </row>
    <row r="238" spans="2:9">
      <c r="B238" s="185"/>
      <c r="D238" s="185"/>
      <c r="E238" s="185"/>
      <c r="F238" s="185"/>
      <c r="G238" s="185"/>
      <c r="H238" s="185"/>
      <c r="I238" s="185"/>
    </row>
    <row r="239" spans="2:9">
      <c r="B239" s="185"/>
      <c r="D239" s="185"/>
      <c r="E239" s="185"/>
      <c r="F239" s="185"/>
      <c r="G239" s="185"/>
      <c r="H239" s="185"/>
      <c r="I239" s="185"/>
    </row>
    <row r="240" spans="2:9">
      <c r="B240" s="185"/>
      <c r="D240" s="185"/>
      <c r="E240" s="185"/>
      <c r="F240" s="185"/>
      <c r="G240" s="185"/>
      <c r="H240" s="185"/>
      <c r="I240" s="185"/>
    </row>
    <row r="241" spans="2:9">
      <c r="B241" s="185"/>
      <c r="D241" s="185"/>
      <c r="E241" s="185"/>
      <c r="F241" s="185"/>
      <c r="G241" s="185"/>
      <c r="H241" s="185"/>
      <c r="I241" s="185"/>
    </row>
    <row r="242" spans="2:9">
      <c r="B242" s="185"/>
      <c r="D242" s="185"/>
      <c r="E242" s="185"/>
      <c r="F242" s="185"/>
      <c r="G242" s="185"/>
      <c r="H242" s="185"/>
      <c r="I242" s="185"/>
    </row>
    <row r="243" spans="2:9">
      <c r="B243" s="185"/>
      <c r="D243" s="185"/>
      <c r="E243" s="185"/>
      <c r="F243" s="185"/>
      <c r="G243" s="185"/>
      <c r="H243" s="185"/>
      <c r="I243" s="185"/>
    </row>
    <row r="244" spans="2:9">
      <c r="B244" s="185"/>
      <c r="D244" s="185"/>
      <c r="E244" s="185"/>
      <c r="F244" s="185"/>
      <c r="G244" s="185"/>
      <c r="H244" s="185"/>
      <c r="I244" s="185"/>
    </row>
    <row r="245" spans="2:9">
      <c r="B245" s="185"/>
      <c r="D245" s="185"/>
      <c r="E245" s="185"/>
      <c r="F245" s="185"/>
      <c r="G245" s="185"/>
      <c r="H245" s="185"/>
      <c r="I245" s="185"/>
    </row>
    <row r="246" spans="2:9">
      <c r="B246" s="185"/>
      <c r="D246" s="185"/>
      <c r="E246" s="185"/>
      <c r="F246" s="185"/>
      <c r="G246" s="185"/>
      <c r="H246" s="185"/>
      <c r="I246" s="185"/>
    </row>
    <row r="247" spans="2:9">
      <c r="B247" s="185"/>
      <c r="D247" s="185"/>
      <c r="E247" s="185"/>
      <c r="F247" s="185"/>
      <c r="G247" s="185"/>
      <c r="H247" s="185"/>
      <c r="I247" s="185"/>
    </row>
    <row r="248" spans="2:9">
      <c r="B248" s="185"/>
      <c r="D248" s="185"/>
      <c r="E248" s="185"/>
      <c r="F248" s="185"/>
      <c r="G248" s="185"/>
      <c r="H248" s="185"/>
      <c r="I248" s="185"/>
    </row>
    <row r="249" spans="2:9">
      <c r="B249" s="185"/>
      <c r="D249" s="185"/>
      <c r="E249" s="185"/>
      <c r="F249" s="185"/>
      <c r="G249" s="185"/>
      <c r="H249" s="185"/>
      <c r="I249" s="185"/>
    </row>
    <row r="250" spans="2:9">
      <c r="B250" s="185"/>
      <c r="D250" s="185"/>
      <c r="E250" s="185"/>
      <c r="F250" s="185"/>
      <c r="G250" s="185"/>
      <c r="H250" s="185"/>
      <c r="I250" s="185"/>
    </row>
    <row r="251" spans="2:9">
      <c r="B251" s="185"/>
      <c r="D251" s="185"/>
      <c r="E251" s="185"/>
      <c r="F251" s="185"/>
      <c r="G251" s="185"/>
      <c r="H251" s="185"/>
      <c r="I251" s="185"/>
    </row>
    <row r="252" spans="2:9">
      <c r="B252" s="185"/>
      <c r="D252" s="185"/>
      <c r="E252" s="185"/>
      <c r="F252" s="185"/>
      <c r="G252" s="185"/>
      <c r="H252" s="185"/>
      <c r="I252" s="185"/>
    </row>
    <row r="253" spans="2:9">
      <c r="B253" s="185"/>
      <c r="D253" s="185"/>
      <c r="E253" s="185"/>
      <c r="F253" s="185"/>
      <c r="G253" s="185"/>
      <c r="H253" s="185"/>
      <c r="I253" s="185"/>
    </row>
    <row r="254" spans="2:9">
      <c r="B254" s="185"/>
      <c r="D254" s="185"/>
      <c r="E254" s="185"/>
      <c r="F254" s="185"/>
      <c r="G254" s="185"/>
      <c r="H254" s="185"/>
      <c r="I254" s="185"/>
    </row>
    <row r="255" spans="2:9">
      <c r="B255" s="185"/>
      <c r="D255" s="185"/>
      <c r="E255" s="185"/>
      <c r="F255" s="185"/>
      <c r="G255" s="185"/>
      <c r="H255" s="185"/>
      <c r="I255" s="185"/>
    </row>
    <row r="256" spans="2:9">
      <c r="B256" s="185"/>
      <c r="D256" s="185"/>
      <c r="E256" s="185"/>
      <c r="F256" s="185"/>
      <c r="G256" s="185"/>
      <c r="H256" s="185"/>
      <c r="I256" s="185"/>
    </row>
    <row r="257" spans="2:9">
      <c r="B257" s="185"/>
      <c r="D257" s="185"/>
      <c r="E257" s="185"/>
      <c r="F257" s="185"/>
      <c r="G257" s="185"/>
      <c r="H257" s="185"/>
      <c r="I257" s="185"/>
    </row>
    <row r="258" spans="2:9">
      <c r="B258" s="185"/>
      <c r="D258" s="185"/>
      <c r="E258" s="185"/>
      <c r="F258" s="185"/>
      <c r="G258" s="185"/>
      <c r="H258" s="185"/>
      <c r="I258" s="185"/>
    </row>
    <row r="259" spans="2:9">
      <c r="B259" s="185"/>
      <c r="D259" s="185"/>
      <c r="E259" s="185"/>
      <c r="F259" s="185"/>
      <c r="G259" s="185"/>
      <c r="H259" s="185"/>
      <c r="I259" s="185"/>
    </row>
    <row r="260" spans="2:9">
      <c r="B260" s="185"/>
      <c r="D260" s="185"/>
      <c r="E260" s="185"/>
      <c r="F260" s="185"/>
      <c r="G260" s="185"/>
      <c r="H260" s="185"/>
      <c r="I260" s="185"/>
    </row>
    <row r="261" spans="2:9">
      <c r="B261" s="185"/>
      <c r="D261" s="185"/>
      <c r="E261" s="185"/>
      <c r="F261" s="185"/>
      <c r="G261" s="185"/>
      <c r="H261" s="185"/>
      <c r="I261" s="185"/>
    </row>
    <row r="262" spans="2:9">
      <c r="B262" s="185"/>
      <c r="D262" s="185"/>
      <c r="E262" s="185"/>
      <c r="F262" s="185"/>
      <c r="G262" s="185"/>
      <c r="H262" s="185"/>
      <c r="I262" s="185"/>
    </row>
    <row r="263" spans="2:9">
      <c r="B263" s="185"/>
      <c r="D263" s="185"/>
      <c r="E263" s="185"/>
      <c r="F263" s="185"/>
      <c r="G263" s="185"/>
      <c r="H263" s="185"/>
      <c r="I263" s="185"/>
    </row>
    <row r="264" spans="2:9">
      <c r="B264" s="185"/>
      <c r="D264" s="185"/>
      <c r="E264" s="185"/>
      <c r="F264" s="185"/>
      <c r="G264" s="185"/>
      <c r="H264" s="185"/>
      <c r="I264" s="185"/>
    </row>
    <row r="265" spans="2:9">
      <c r="B265" s="185"/>
      <c r="D265" s="185"/>
      <c r="E265" s="185"/>
      <c r="F265" s="185"/>
      <c r="G265" s="185"/>
      <c r="H265" s="185"/>
      <c r="I265" s="185"/>
    </row>
    <row r="266" spans="2:9">
      <c r="B266" s="185"/>
      <c r="D266" s="185"/>
      <c r="E266" s="185"/>
      <c r="F266" s="185"/>
      <c r="G266" s="185"/>
      <c r="H266" s="185"/>
      <c r="I266" s="185"/>
    </row>
    <row r="267" spans="2:9">
      <c r="B267" s="185"/>
      <c r="D267" s="185"/>
      <c r="E267" s="185"/>
      <c r="F267" s="185"/>
      <c r="G267" s="185"/>
      <c r="H267" s="185"/>
      <c r="I267" s="185"/>
    </row>
    <row r="268" spans="2:9">
      <c r="B268" s="185"/>
      <c r="D268" s="185"/>
      <c r="E268" s="185"/>
      <c r="F268" s="185"/>
      <c r="G268" s="185"/>
      <c r="H268" s="185"/>
      <c r="I268" s="185"/>
    </row>
    <row r="269" spans="2:9">
      <c r="B269" s="185"/>
      <c r="D269" s="192"/>
      <c r="E269" s="192"/>
      <c r="F269" s="192"/>
      <c r="G269" s="192"/>
      <c r="H269" s="192"/>
      <c r="I269" s="192"/>
    </row>
    <row r="270" spans="2:9">
      <c r="B270" s="185"/>
      <c r="D270" s="192"/>
      <c r="E270" s="192"/>
      <c r="F270" s="192"/>
      <c r="G270" s="192"/>
      <c r="H270" s="192"/>
      <c r="I270" s="192"/>
    </row>
    <row r="271" spans="2:9">
      <c r="B271" s="185"/>
      <c r="D271" s="192"/>
      <c r="E271" s="192"/>
      <c r="F271" s="192"/>
      <c r="G271" s="192"/>
      <c r="H271" s="192"/>
      <c r="I271" s="192"/>
    </row>
    <row r="272" spans="2:9">
      <c r="B272" s="185"/>
      <c r="D272" s="192"/>
      <c r="E272" s="192"/>
      <c r="F272" s="192"/>
      <c r="G272" s="192"/>
      <c r="H272" s="192"/>
      <c r="I272" s="192"/>
    </row>
    <row r="273" spans="2:9">
      <c r="B273" s="185"/>
      <c r="D273" s="192"/>
      <c r="E273" s="192"/>
      <c r="F273" s="192"/>
      <c r="G273" s="192"/>
      <c r="H273" s="192"/>
      <c r="I273" s="192"/>
    </row>
    <row r="274" spans="2:9">
      <c r="B274" s="185"/>
      <c r="D274" s="192"/>
      <c r="E274" s="192"/>
      <c r="F274" s="192"/>
      <c r="G274" s="192"/>
      <c r="H274" s="192"/>
      <c r="I274" s="192"/>
    </row>
    <row r="275" spans="2:9">
      <c r="B275" s="185"/>
      <c r="D275" s="192"/>
      <c r="E275" s="192"/>
      <c r="F275" s="192"/>
      <c r="G275" s="192"/>
      <c r="H275" s="192"/>
      <c r="I275" s="192"/>
    </row>
    <row r="276" spans="2:9">
      <c r="B276" s="185"/>
      <c r="D276" s="192"/>
      <c r="E276" s="192"/>
      <c r="F276" s="192"/>
      <c r="G276" s="192"/>
      <c r="H276" s="192"/>
      <c r="I276" s="192"/>
    </row>
    <row r="277" spans="2:9">
      <c r="B277" s="185"/>
      <c r="D277" s="192"/>
      <c r="E277" s="192"/>
      <c r="F277" s="192"/>
      <c r="G277" s="192"/>
      <c r="H277" s="192"/>
      <c r="I277" s="192"/>
    </row>
    <row r="278" spans="2:9">
      <c r="B278" s="185"/>
      <c r="D278" s="192"/>
      <c r="E278" s="192"/>
      <c r="F278" s="192"/>
      <c r="G278" s="192"/>
      <c r="H278" s="192"/>
      <c r="I278" s="192"/>
    </row>
    <row r="279" spans="2:9">
      <c r="B279" s="185"/>
      <c r="D279" s="192"/>
      <c r="E279" s="192"/>
      <c r="F279" s="192"/>
      <c r="G279" s="192"/>
      <c r="H279" s="192"/>
      <c r="I279" s="192"/>
    </row>
    <row r="280" spans="2:9">
      <c r="B280" s="185"/>
      <c r="D280" s="192"/>
      <c r="E280" s="192"/>
      <c r="F280" s="192"/>
      <c r="G280" s="192"/>
      <c r="H280" s="192"/>
      <c r="I280" s="192"/>
    </row>
    <row r="281" spans="2:9">
      <c r="B281" s="185"/>
      <c r="D281" s="192"/>
      <c r="E281" s="192"/>
      <c r="F281" s="192"/>
      <c r="G281" s="192"/>
      <c r="H281" s="192"/>
      <c r="I281" s="192"/>
    </row>
    <row r="282" spans="2:9">
      <c r="B282" s="185"/>
      <c r="D282" s="192"/>
      <c r="E282" s="192"/>
      <c r="F282" s="192"/>
      <c r="G282" s="192"/>
      <c r="H282" s="192"/>
      <c r="I282" s="192"/>
    </row>
    <row r="283" spans="2:9">
      <c r="B283" s="185"/>
      <c r="D283" s="192"/>
      <c r="E283" s="192"/>
      <c r="F283" s="192"/>
      <c r="G283" s="192"/>
      <c r="H283" s="192"/>
      <c r="I283" s="192"/>
    </row>
    <row r="284" spans="2:9">
      <c r="B284" s="185"/>
      <c r="D284" s="192"/>
      <c r="E284" s="192"/>
      <c r="F284" s="192"/>
      <c r="G284" s="192"/>
      <c r="H284" s="192"/>
      <c r="I284" s="192"/>
    </row>
    <row r="285" spans="2:9">
      <c r="B285" s="186"/>
      <c r="D285" s="192"/>
      <c r="E285" s="192"/>
      <c r="F285" s="192"/>
      <c r="G285" s="192"/>
      <c r="H285" s="192"/>
      <c r="I285" s="192"/>
    </row>
    <row r="286" spans="2:9">
      <c r="B286" s="92"/>
      <c r="D286" s="193"/>
      <c r="E286" s="193"/>
      <c r="F286" s="193"/>
      <c r="G286" s="193"/>
      <c r="H286" s="193"/>
      <c r="I286" s="193"/>
    </row>
    <row r="287" spans="2:9">
      <c r="B287" s="92"/>
    </row>
    <row r="288" spans="2:9">
      <c r="B288" s="92"/>
    </row>
    <row r="289" spans="2:2">
      <c r="B289" s="92"/>
    </row>
    <row r="290" spans="2:2">
      <c r="B290" s="92"/>
    </row>
    <row r="291" spans="2:2">
      <c r="B291" s="92"/>
    </row>
    <row r="292" spans="2:2">
      <c r="B292" s="92"/>
    </row>
    <row r="293" spans="2:2">
      <c r="B293" s="92"/>
    </row>
    <row r="294" spans="2:2">
      <c r="B294" s="92"/>
    </row>
    <row r="295" spans="2:2">
      <c r="B295" s="92"/>
    </row>
    <row r="296" spans="2:2">
      <c r="B296" s="92"/>
    </row>
    <row r="297" spans="2:2">
      <c r="B297" s="92"/>
    </row>
    <row r="298" spans="2:2">
      <c r="B298" s="92"/>
    </row>
    <row r="299" spans="2:2">
      <c r="B299" s="92"/>
    </row>
    <row r="300" spans="2:2">
      <c r="B300" s="92"/>
    </row>
    <row r="301" spans="2:2">
      <c r="B301" s="92"/>
    </row>
    <row r="302" spans="2:2">
      <c r="B302" s="92"/>
    </row>
    <row r="303" spans="2:2">
      <c r="B303" s="92"/>
    </row>
    <row r="304" spans="2:2">
      <c r="B304" s="92"/>
    </row>
    <row r="305" spans="2:2">
      <c r="B305" s="92"/>
    </row>
    <row r="306" spans="2:2">
      <c r="B306" s="92"/>
    </row>
    <row r="307" spans="2:2">
      <c r="B307" s="92"/>
    </row>
    <row r="308" spans="2:2">
      <c r="B308" s="92"/>
    </row>
    <row r="309" spans="2:2">
      <c r="B309" s="92"/>
    </row>
    <row r="310" spans="2:2">
      <c r="B310" s="92"/>
    </row>
    <row r="311" spans="2:2">
      <c r="B311" s="92"/>
    </row>
    <row r="312" spans="2:2">
      <c r="B312" s="92"/>
    </row>
    <row r="313" spans="2:2">
      <c r="B313" s="92"/>
    </row>
    <row r="314" spans="2:2">
      <c r="B314" s="92"/>
    </row>
    <row r="315" spans="2:2">
      <c r="B315" s="92"/>
    </row>
    <row r="316" spans="2:2">
      <c r="B316" s="92"/>
    </row>
    <row r="317" spans="2:2">
      <c r="B317" s="92"/>
    </row>
    <row r="318" spans="2:2">
      <c r="B318" s="92"/>
    </row>
    <row r="319" spans="2:2">
      <c r="B319" s="92"/>
    </row>
    <row r="320" spans="2:2">
      <c r="B320" s="92"/>
    </row>
    <row r="321" spans="2:2">
      <c r="B321" s="92"/>
    </row>
    <row r="322" spans="2:2">
      <c r="B322" s="92"/>
    </row>
    <row r="323" spans="2:2">
      <c r="B323" s="92"/>
    </row>
    <row r="324" spans="2:2">
      <c r="B324" s="92"/>
    </row>
    <row r="325" spans="2:2">
      <c r="B325" s="92"/>
    </row>
    <row r="326" spans="2:2">
      <c r="B326" s="92"/>
    </row>
    <row r="327" spans="2:2">
      <c r="B327" s="92"/>
    </row>
    <row r="328" spans="2:2">
      <c r="B328" s="92"/>
    </row>
    <row r="329" spans="2:2">
      <c r="B329" s="92"/>
    </row>
    <row r="330" spans="2:2">
      <c r="B330" s="92"/>
    </row>
    <row r="331" spans="2:2">
      <c r="B331" s="92"/>
    </row>
    <row r="332" spans="2:2">
      <c r="B332" s="92"/>
    </row>
    <row r="333" spans="2:2">
      <c r="B333" s="92"/>
    </row>
    <row r="334" spans="2:2">
      <c r="B334" s="92"/>
    </row>
    <row r="335" spans="2:2">
      <c r="B335" s="92"/>
    </row>
    <row r="336" spans="2:2">
      <c r="B336" s="92"/>
    </row>
    <row r="337" spans="2:2">
      <c r="B337" s="92"/>
    </row>
    <row r="338" spans="2:2">
      <c r="B338" s="92"/>
    </row>
    <row r="339" spans="2:2">
      <c r="B339" s="92"/>
    </row>
    <row r="340" spans="2:2">
      <c r="B340" s="92"/>
    </row>
    <row r="341" spans="2:2">
      <c r="B341" s="92"/>
    </row>
    <row r="342" spans="2:2">
      <c r="B342" s="92"/>
    </row>
    <row r="343" spans="2:2">
      <c r="B343" s="92"/>
    </row>
    <row r="344" spans="2:2">
      <c r="B344" s="92"/>
    </row>
    <row r="345" spans="2:2">
      <c r="B345" s="92"/>
    </row>
    <row r="346" spans="2:2">
      <c r="B346" s="92"/>
    </row>
    <row r="347" spans="2:2">
      <c r="B347" s="92"/>
    </row>
    <row r="348" spans="2:2">
      <c r="B348" s="92"/>
    </row>
    <row r="349" spans="2:2">
      <c r="B349" s="92"/>
    </row>
    <row r="350" spans="2:2">
      <c r="B350" s="92"/>
    </row>
    <row r="351" spans="2:2">
      <c r="B351" s="92"/>
    </row>
    <row r="352" spans="2:2">
      <c r="B352" s="92"/>
    </row>
    <row r="353" spans="2:2">
      <c r="B353" s="92"/>
    </row>
    <row r="354" spans="2:2">
      <c r="B354" s="92"/>
    </row>
    <row r="355" spans="2:2">
      <c r="B355" s="92"/>
    </row>
    <row r="356" spans="2:2">
      <c r="B356" s="92"/>
    </row>
    <row r="357" spans="2:2">
      <c r="B357" s="92"/>
    </row>
    <row r="358" spans="2:2">
      <c r="B358" s="92"/>
    </row>
    <row r="359" spans="2:2">
      <c r="B359" s="92"/>
    </row>
    <row r="360" spans="2:2">
      <c r="B360" s="92"/>
    </row>
    <row r="361" spans="2:2">
      <c r="B361" s="92"/>
    </row>
    <row r="362" spans="2:2">
      <c r="B362" s="92"/>
    </row>
    <row r="363" spans="2:2">
      <c r="B363" s="92"/>
    </row>
    <row r="364" spans="2:2">
      <c r="B364" s="92"/>
    </row>
    <row r="365" spans="2:2">
      <c r="B365" s="92"/>
    </row>
    <row r="366" spans="2:2">
      <c r="B366" s="92"/>
    </row>
    <row r="367" spans="2:2">
      <c r="B367" s="92"/>
    </row>
    <row r="368" spans="2:2">
      <c r="B368" s="92"/>
    </row>
    <row r="369" spans="2:2">
      <c r="B369" s="92"/>
    </row>
    <row r="370" spans="2:2">
      <c r="B370" s="92"/>
    </row>
    <row r="371" spans="2:2">
      <c r="B371" s="92"/>
    </row>
    <row r="372" spans="2:2">
      <c r="B372" s="92"/>
    </row>
    <row r="373" spans="2:2">
      <c r="B373" s="92"/>
    </row>
    <row r="374" spans="2:2">
      <c r="B374" s="92"/>
    </row>
    <row r="375" spans="2:2">
      <c r="B375" s="92"/>
    </row>
    <row r="376" spans="2:2">
      <c r="B376" s="92"/>
    </row>
    <row r="377" spans="2:2">
      <c r="B377" s="92"/>
    </row>
    <row r="378" spans="2:2">
      <c r="B378" s="92"/>
    </row>
    <row r="379" spans="2:2">
      <c r="B379" s="92"/>
    </row>
    <row r="380" spans="2:2">
      <c r="B380" s="92"/>
    </row>
    <row r="381" spans="2:2">
      <c r="B381" s="92"/>
    </row>
    <row r="382" spans="2:2">
      <c r="B382" s="92"/>
    </row>
    <row r="383" spans="2:2">
      <c r="B383" s="92"/>
    </row>
    <row r="384" spans="2:2">
      <c r="B384" s="92"/>
    </row>
    <row r="385" spans="2:2">
      <c r="B385" s="92"/>
    </row>
    <row r="386" spans="2:2">
      <c r="B386" s="92"/>
    </row>
    <row r="387" spans="2:2">
      <c r="B387" s="92"/>
    </row>
    <row r="388" spans="2:2">
      <c r="B388" s="92"/>
    </row>
    <row r="389" spans="2:2">
      <c r="B389" s="92"/>
    </row>
    <row r="390" spans="2:2">
      <c r="B390" s="92"/>
    </row>
    <row r="391" spans="2:2">
      <c r="B391" s="92"/>
    </row>
    <row r="392" spans="2:2">
      <c r="B392" s="92"/>
    </row>
    <row r="393" spans="2:2">
      <c r="B393" s="92"/>
    </row>
    <row r="394" spans="2:2">
      <c r="B394" s="92"/>
    </row>
    <row r="395" spans="2:2">
      <c r="B395" s="92"/>
    </row>
    <row r="396" spans="2:2">
      <c r="B396" s="92"/>
    </row>
    <row r="397" spans="2:2">
      <c r="B397" s="92"/>
    </row>
    <row r="398" spans="2:2">
      <c r="B398" s="92"/>
    </row>
    <row r="399" spans="2:2">
      <c r="B399" s="92"/>
    </row>
    <row r="400" spans="2:2">
      <c r="B400" s="92"/>
    </row>
    <row r="401" spans="2:2">
      <c r="B401" s="92"/>
    </row>
    <row r="402" spans="2:2">
      <c r="B402" s="92"/>
    </row>
    <row r="403" spans="2:2">
      <c r="B403" s="92"/>
    </row>
    <row r="404" spans="2:2">
      <c r="B404" s="92"/>
    </row>
    <row r="405" spans="2:2">
      <c r="B405" s="92"/>
    </row>
    <row r="406" spans="2:2">
      <c r="B406" s="92"/>
    </row>
    <row r="407" spans="2:2">
      <c r="B407" s="92"/>
    </row>
    <row r="408" spans="2:2">
      <c r="B408" s="92"/>
    </row>
    <row r="409" spans="2:2">
      <c r="B409" s="92"/>
    </row>
    <row r="410" spans="2:2">
      <c r="B410" s="92"/>
    </row>
    <row r="411" spans="2:2">
      <c r="B411" s="92"/>
    </row>
    <row r="412" spans="2:2">
      <c r="B412" s="92"/>
    </row>
    <row r="413" spans="2:2">
      <c r="B413" s="92"/>
    </row>
    <row r="414" spans="2:2">
      <c r="B414" s="92"/>
    </row>
    <row r="415" spans="2:2">
      <c r="B415" s="92"/>
    </row>
    <row r="416" spans="2:2">
      <c r="B416" s="92"/>
    </row>
    <row r="417" spans="2:2">
      <c r="B417" s="92"/>
    </row>
    <row r="418" spans="2:2">
      <c r="B418" s="92"/>
    </row>
    <row r="419" spans="2:2">
      <c r="B419" s="92"/>
    </row>
    <row r="420" spans="2:2">
      <c r="B420" s="92"/>
    </row>
    <row r="421" spans="2:2">
      <c r="B421" s="92"/>
    </row>
    <row r="422" spans="2:2">
      <c r="B422" s="92"/>
    </row>
    <row r="423" spans="2:2">
      <c r="B423" s="92"/>
    </row>
    <row r="424" spans="2:2">
      <c r="B424" s="92"/>
    </row>
    <row r="425" spans="2:2">
      <c r="B425" s="92"/>
    </row>
    <row r="426" spans="2:2">
      <c r="B426" s="92"/>
    </row>
    <row r="427" spans="2:2">
      <c r="B427" s="92"/>
    </row>
    <row r="428" spans="2:2">
      <c r="B428" s="92"/>
    </row>
    <row r="429" spans="2:2">
      <c r="B429" s="92"/>
    </row>
    <row r="430" spans="2:2">
      <c r="B430" s="92"/>
    </row>
    <row r="431" spans="2:2">
      <c r="B431" s="92"/>
    </row>
    <row r="432" spans="2:2">
      <c r="B432" s="92"/>
    </row>
    <row r="433" spans="2:2">
      <c r="B433" s="92"/>
    </row>
    <row r="434" spans="2:2">
      <c r="B434" s="92"/>
    </row>
    <row r="435" spans="2:2">
      <c r="B435" s="92"/>
    </row>
    <row r="436" spans="2:2">
      <c r="B436" s="92"/>
    </row>
    <row r="437" spans="2:2">
      <c r="B437" s="92"/>
    </row>
    <row r="438" spans="2:2">
      <c r="B438" s="92"/>
    </row>
    <row r="439" spans="2:2">
      <c r="B439" s="92"/>
    </row>
    <row r="440" spans="2:2">
      <c r="B440" s="92"/>
    </row>
    <row r="441" spans="2:2">
      <c r="B441" s="92"/>
    </row>
    <row r="442" spans="2:2">
      <c r="B442" s="92"/>
    </row>
    <row r="443" spans="2:2">
      <c r="B443" s="92"/>
    </row>
    <row r="444" spans="2:2">
      <c r="B444" s="92"/>
    </row>
    <row r="445" spans="2:2">
      <c r="B445" s="92"/>
    </row>
    <row r="446" spans="2:2">
      <c r="B446" s="92"/>
    </row>
    <row r="447" spans="2:2">
      <c r="B447" s="92"/>
    </row>
    <row r="448" spans="2:2">
      <c r="B448" s="92"/>
    </row>
    <row r="449" spans="2:2">
      <c r="B449" s="92"/>
    </row>
    <row r="450" spans="2:2">
      <c r="B450" s="92"/>
    </row>
    <row r="451" spans="2:2">
      <c r="B451" s="92"/>
    </row>
    <row r="452" spans="2:2">
      <c r="B452" s="92"/>
    </row>
    <row r="453" spans="2:2">
      <c r="B453" s="92"/>
    </row>
    <row r="454" spans="2:2">
      <c r="B454" s="92"/>
    </row>
    <row r="455" spans="2:2">
      <c r="B455" s="92"/>
    </row>
    <row r="456" spans="2:2">
      <c r="B456" s="92"/>
    </row>
    <row r="457" spans="2:2">
      <c r="B457" s="92"/>
    </row>
    <row r="458" spans="2:2">
      <c r="B458" s="92"/>
    </row>
    <row r="459" spans="2:2">
      <c r="B459" s="92"/>
    </row>
    <row r="460" spans="2:2">
      <c r="B460" s="92"/>
    </row>
    <row r="461" spans="2:2">
      <c r="B461" s="92"/>
    </row>
    <row r="462" spans="2:2">
      <c r="B462" s="92"/>
    </row>
    <row r="463" spans="2:2">
      <c r="B463" s="92"/>
    </row>
    <row r="464" spans="2:2">
      <c r="B464" s="92"/>
    </row>
    <row r="465" spans="2:2">
      <c r="B465" s="92"/>
    </row>
    <row r="466" spans="2:2">
      <c r="B466" s="92"/>
    </row>
    <row r="467" spans="2:2">
      <c r="B467" s="92"/>
    </row>
    <row r="468" spans="2:2">
      <c r="B468" s="92"/>
    </row>
    <row r="469" spans="2:2">
      <c r="B469" s="92"/>
    </row>
    <row r="470" spans="2:2">
      <c r="B470" s="92"/>
    </row>
    <row r="471" spans="2:2">
      <c r="B471" s="92"/>
    </row>
    <row r="472" spans="2:2">
      <c r="B472" s="92"/>
    </row>
    <row r="473" spans="2:2">
      <c r="B473" s="92"/>
    </row>
    <row r="474" spans="2:2">
      <c r="B474" s="92"/>
    </row>
    <row r="475" spans="2:2">
      <c r="B475" s="92"/>
    </row>
    <row r="476" spans="2:2">
      <c r="B476" s="92"/>
    </row>
    <row r="477" spans="2:2">
      <c r="B477" s="92"/>
    </row>
    <row r="478" spans="2:2">
      <c r="B478" s="92"/>
    </row>
    <row r="479" spans="2:2">
      <c r="B479" s="92"/>
    </row>
    <row r="480" spans="2:2">
      <c r="B480" s="92"/>
    </row>
    <row r="481" spans="2:2">
      <c r="B481" s="92"/>
    </row>
    <row r="482" spans="2:2">
      <c r="B482" s="92"/>
    </row>
    <row r="483" spans="2:2">
      <c r="B483" s="92"/>
    </row>
    <row r="484" spans="2:2">
      <c r="B484" s="92"/>
    </row>
    <row r="485" spans="2:2">
      <c r="B485" s="92"/>
    </row>
    <row r="486" spans="2:2">
      <c r="B486" s="92"/>
    </row>
    <row r="487" spans="2:2">
      <c r="B487" s="92"/>
    </row>
    <row r="488" spans="2:2">
      <c r="B488" s="92"/>
    </row>
    <row r="489" spans="2:2">
      <c r="B489" s="92"/>
    </row>
    <row r="490" spans="2:2">
      <c r="B490" s="92"/>
    </row>
    <row r="491" spans="2:2">
      <c r="B491" s="92"/>
    </row>
    <row r="492" spans="2:2">
      <c r="B492" s="92"/>
    </row>
    <row r="493" spans="2:2">
      <c r="B493" s="92"/>
    </row>
    <row r="494" spans="2:2">
      <c r="B494" s="92"/>
    </row>
    <row r="495" spans="2:2">
      <c r="B495" s="92"/>
    </row>
    <row r="496" spans="2:2">
      <c r="B496" s="92"/>
    </row>
    <row r="497" spans="2:2">
      <c r="B497" s="92"/>
    </row>
    <row r="498" spans="2:2">
      <c r="B498" s="92"/>
    </row>
    <row r="499" spans="2:2">
      <c r="B499" s="92"/>
    </row>
    <row r="500" spans="2:2">
      <c r="B500" s="92"/>
    </row>
    <row r="501" spans="2:2">
      <c r="B501" s="92"/>
    </row>
    <row r="502" spans="2:2">
      <c r="B502" s="92"/>
    </row>
    <row r="503" spans="2:2">
      <c r="B503" s="92"/>
    </row>
    <row r="504" spans="2:2">
      <c r="B504" s="92"/>
    </row>
    <row r="505" spans="2:2">
      <c r="B505" s="92"/>
    </row>
    <row r="506" spans="2:2">
      <c r="B506" s="92"/>
    </row>
    <row r="507" spans="2:2">
      <c r="B507" s="92"/>
    </row>
    <row r="508" spans="2:2">
      <c r="B508" s="92"/>
    </row>
    <row r="509" spans="2:2">
      <c r="B509" s="92"/>
    </row>
    <row r="510" spans="2:2">
      <c r="B510" s="92"/>
    </row>
    <row r="511" spans="2:2">
      <c r="B511" s="92"/>
    </row>
    <row r="512" spans="2:2">
      <c r="B512" s="92"/>
    </row>
    <row r="513" spans="2:2">
      <c r="B513" s="92"/>
    </row>
    <row r="514" spans="2:2">
      <c r="B514" s="92"/>
    </row>
    <row r="515" spans="2:2">
      <c r="B515" s="92"/>
    </row>
    <row r="516" spans="2:2">
      <c r="B516" s="92"/>
    </row>
    <row r="517" spans="2:2">
      <c r="B517" s="92"/>
    </row>
    <row r="518" spans="2:2">
      <c r="B518" s="92"/>
    </row>
    <row r="519" spans="2:2">
      <c r="B519" s="92"/>
    </row>
    <row r="520" spans="2:2">
      <c r="B520" s="92"/>
    </row>
    <row r="521" spans="2:2">
      <c r="B521" s="92"/>
    </row>
    <row r="522" spans="2:2">
      <c r="B522" s="92"/>
    </row>
    <row r="523" spans="2:2">
      <c r="B523" s="92"/>
    </row>
    <row r="524" spans="2:2">
      <c r="B524" s="92"/>
    </row>
    <row r="525" spans="2:2">
      <c r="B525" s="92"/>
    </row>
    <row r="526" spans="2:2">
      <c r="B526" s="92"/>
    </row>
    <row r="527" spans="2:2">
      <c r="B527" s="92"/>
    </row>
    <row r="528" spans="2:2">
      <c r="B528" s="92"/>
    </row>
    <row r="529" spans="2:2">
      <c r="B529" s="92"/>
    </row>
    <row r="530" spans="2:2">
      <c r="B530" s="92"/>
    </row>
    <row r="531" spans="2:2">
      <c r="B531" s="92"/>
    </row>
    <row r="532" spans="2:2">
      <c r="B532" s="92"/>
    </row>
    <row r="533" spans="2:2">
      <c r="B533" s="92"/>
    </row>
    <row r="534" spans="2:2">
      <c r="B534" s="92"/>
    </row>
    <row r="535" spans="2:2">
      <c r="B535" s="92"/>
    </row>
    <row r="536" spans="2:2">
      <c r="B536" s="92"/>
    </row>
    <row r="537" spans="2:2">
      <c r="B537" s="92"/>
    </row>
    <row r="538" spans="2:2">
      <c r="B538" s="92"/>
    </row>
    <row r="539" spans="2:2">
      <c r="B539" s="92"/>
    </row>
    <row r="540" spans="2:2">
      <c r="B540" s="92"/>
    </row>
    <row r="541" spans="2:2">
      <c r="B541" s="92"/>
    </row>
    <row r="542" spans="2:2">
      <c r="B542" s="92"/>
    </row>
    <row r="543" spans="2:2">
      <c r="B543" s="92"/>
    </row>
    <row r="544" spans="2:2">
      <c r="B544" s="92"/>
    </row>
    <row r="545" spans="2:2">
      <c r="B545" s="92"/>
    </row>
    <row r="546" spans="2:2">
      <c r="B546" s="92"/>
    </row>
    <row r="547" spans="2:2">
      <c r="B547" s="92"/>
    </row>
    <row r="548" spans="2:2">
      <c r="B548" s="92"/>
    </row>
    <row r="549" spans="2:2">
      <c r="B549" s="92"/>
    </row>
    <row r="550" spans="2:2">
      <c r="B550" s="92"/>
    </row>
    <row r="551" spans="2:2">
      <c r="B551" s="92"/>
    </row>
    <row r="552" spans="2:2">
      <c r="B552" s="92"/>
    </row>
    <row r="553" spans="2:2">
      <c r="B553" s="92"/>
    </row>
    <row r="554" spans="2:2">
      <c r="B554" s="92"/>
    </row>
    <row r="555" spans="2:2">
      <c r="B555" s="92"/>
    </row>
    <row r="556" spans="2:2">
      <c r="B556" s="92"/>
    </row>
    <row r="557" spans="2:2">
      <c r="B557" s="92"/>
    </row>
    <row r="558" spans="2:2">
      <c r="B558" s="92"/>
    </row>
    <row r="559" spans="2:2">
      <c r="B559" s="92"/>
    </row>
    <row r="560" spans="2:2">
      <c r="B560" s="92"/>
    </row>
    <row r="561" spans="2:2">
      <c r="B561" s="92"/>
    </row>
    <row r="562" spans="2:2">
      <c r="B562" s="92"/>
    </row>
    <row r="563" spans="2:2">
      <c r="B563" s="92"/>
    </row>
    <row r="564" spans="2:2">
      <c r="B564" s="92"/>
    </row>
    <row r="565" spans="2:2">
      <c r="B565" s="92"/>
    </row>
    <row r="566" spans="2:2">
      <c r="B566" s="92"/>
    </row>
    <row r="567" spans="2:2">
      <c r="B567" s="92"/>
    </row>
    <row r="568" spans="2:2">
      <c r="B568" s="92"/>
    </row>
    <row r="569" spans="2:2">
      <c r="B569" s="92"/>
    </row>
    <row r="570" spans="2:2">
      <c r="B570" s="92"/>
    </row>
    <row r="571" spans="2:2">
      <c r="B571" s="92"/>
    </row>
    <row r="572" spans="2:2">
      <c r="B572" s="92"/>
    </row>
    <row r="573" spans="2:2">
      <c r="B573" s="92"/>
    </row>
    <row r="574" spans="2:2">
      <c r="B574" s="92"/>
    </row>
    <row r="575" spans="2:2">
      <c r="B575" s="92"/>
    </row>
    <row r="576" spans="2:2">
      <c r="B576" s="92"/>
    </row>
    <row r="577" spans="2:2">
      <c r="B577" s="92"/>
    </row>
    <row r="578" spans="2:2">
      <c r="B578" s="92"/>
    </row>
    <row r="579" spans="2:2">
      <c r="B579" s="92"/>
    </row>
    <row r="580" spans="2:2">
      <c r="B580" s="92"/>
    </row>
    <row r="581" spans="2:2">
      <c r="B581" s="92"/>
    </row>
    <row r="603" spans="2:2">
      <c r="B603" s="6" t="e">
        <f t="shared" ref="B603:B614" si="7">VLOOKUP(A603,$C$20:$V$10018,1+$A$1)</f>
        <v>#N/A</v>
      </c>
    </row>
    <row r="604" spans="2:2">
      <c r="B604" s="6" t="e">
        <f t="shared" si="7"/>
        <v>#N/A</v>
      </c>
    </row>
    <row r="605" spans="2:2">
      <c r="B605" s="6" t="e">
        <f t="shared" si="7"/>
        <v>#N/A</v>
      </c>
    </row>
    <row r="606" spans="2:2">
      <c r="B606" s="6" t="e">
        <f t="shared" si="7"/>
        <v>#N/A</v>
      </c>
    </row>
    <row r="607" spans="2:2">
      <c r="B607" s="6" t="e">
        <f t="shared" si="7"/>
        <v>#N/A</v>
      </c>
    </row>
    <row r="608" spans="2:2">
      <c r="B608" s="6" t="e">
        <f t="shared" si="7"/>
        <v>#N/A</v>
      </c>
    </row>
    <row r="609" spans="2:2">
      <c r="B609" s="6" t="e">
        <f t="shared" si="7"/>
        <v>#N/A</v>
      </c>
    </row>
    <row r="610" spans="2:2">
      <c r="B610" s="6" t="e">
        <f t="shared" si="7"/>
        <v>#N/A</v>
      </c>
    </row>
    <row r="611" spans="2:2">
      <c r="B611" s="6" t="e">
        <f t="shared" si="7"/>
        <v>#N/A</v>
      </c>
    </row>
    <row r="612" spans="2:2">
      <c r="B612" s="6" t="e">
        <f t="shared" si="7"/>
        <v>#N/A</v>
      </c>
    </row>
    <row r="613" spans="2:2">
      <c r="B613" s="6" t="e">
        <f t="shared" si="7"/>
        <v>#N/A</v>
      </c>
    </row>
    <row r="614" spans="2:2">
      <c r="B614" s="6" t="e">
        <f t="shared" si="7"/>
        <v>#N/A</v>
      </c>
    </row>
  </sheetData>
  <sheetProtection algorithmName="SHA-512" hashValue="ZlS1yQAsAGc2N0QvFRAeZnQ6DMz1WnCQKwbRL5f3s32Uy7IlpmGSc6jyhcbheRBW3ufiJxcK1/0ZBI0hXnjcdA==" saltValue="Mn5fhkIBWCPu/KNm2z/kFg==" spinCount="100000" sheet="1" objects="1" scenarios="1" formatRows="0" selectLockedCells="1"/>
  <pageMargins left="0.75" right="0.75" top="1" bottom="1" header="0.5" footer="0.5"/>
  <pageSetup paperSize="9" orientation="portrait" horizontalDpi="4294967292" verticalDpi="429496729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9" tint="0.79998168889431442"/>
    <pageSetUpPr fitToPage="1"/>
  </sheetPr>
  <dimension ref="A1:F44"/>
  <sheetViews>
    <sheetView showGridLines="0" tabSelected="1" zoomScale="125" zoomScaleNormal="125" zoomScalePageLayoutView="125" workbookViewId="0">
      <selection activeCell="E3" sqref="E3"/>
    </sheetView>
  </sheetViews>
  <sheetFormatPr baseColWidth="10" defaultColWidth="0" defaultRowHeight="13.5" zeroHeight="1"/>
  <cols>
    <col min="1" max="1" width="1.86328125" style="7" customWidth="1"/>
    <col min="2" max="3" width="24.73046875" style="24" customWidth="1"/>
    <col min="4" max="4" width="26.265625" style="24" customWidth="1"/>
    <col min="5" max="5" width="24.73046875" style="24" customWidth="1"/>
    <col min="6" max="6" width="2.3984375" style="7" customWidth="1"/>
    <col min="7" max="16384" width="8.86328125" style="7" hidden="1"/>
  </cols>
  <sheetData>
    <row r="1" spans="1:6">
      <c r="A1" s="207"/>
      <c r="B1" s="207"/>
      <c r="C1" s="207"/>
      <c r="D1" s="207"/>
      <c r="E1" s="207"/>
      <c r="F1" s="207"/>
    </row>
    <row r="2" spans="1:6">
      <c r="A2" s="207"/>
      <c r="B2" s="207"/>
      <c r="C2" s="207"/>
      <c r="D2" s="208" t="str">
        <f>Tags!B4</f>
        <v>Date</v>
      </c>
      <c r="E2" s="359">
        <v>42621</v>
      </c>
      <c r="F2" s="207"/>
    </row>
    <row r="3" spans="1:6">
      <c r="A3" s="207"/>
      <c r="B3" s="207"/>
      <c r="C3" s="207"/>
      <c r="D3" s="208" t="str">
        <f>Tags!B5</f>
        <v>Language</v>
      </c>
      <c r="E3" s="213" t="s">
        <v>439</v>
      </c>
      <c r="F3" s="207"/>
    </row>
    <row r="4" spans="1:6">
      <c r="A4" s="207"/>
      <c r="B4" s="207"/>
      <c r="C4" s="207"/>
      <c r="D4" s="208" t="str">
        <f>Tags!B6</f>
        <v>Country</v>
      </c>
      <c r="E4" s="213"/>
      <c r="F4" s="207"/>
    </row>
    <row r="5" spans="1:6">
      <c r="A5" s="207"/>
      <c r="B5" s="207"/>
      <c r="C5" s="207"/>
      <c r="D5" s="207"/>
      <c r="E5" s="207"/>
      <c r="F5" s="207"/>
    </row>
    <row r="6" spans="1:6">
      <c r="A6" s="207"/>
      <c r="B6" s="207"/>
      <c r="C6" s="207"/>
      <c r="D6" s="207"/>
      <c r="E6" s="207"/>
      <c r="F6" s="207"/>
    </row>
    <row r="7" spans="1:6">
      <c r="A7" s="207"/>
      <c r="B7" s="207"/>
      <c r="C7" s="207"/>
      <c r="D7" s="207"/>
      <c r="E7" s="207"/>
      <c r="F7" s="207"/>
    </row>
    <row r="8" spans="1:6" ht="36" customHeight="1">
      <c r="A8" s="207"/>
      <c r="B8" s="207"/>
      <c r="C8" s="207"/>
      <c r="D8" s="207"/>
      <c r="E8" s="207"/>
      <c r="F8" s="207"/>
    </row>
    <row r="9" spans="1:6" ht="12" customHeight="1">
      <c r="A9" s="207"/>
      <c r="B9" s="209"/>
      <c r="C9" s="368" t="s">
        <v>83</v>
      </c>
      <c r="D9" s="368"/>
      <c r="E9" s="368"/>
      <c r="F9" s="207"/>
    </row>
    <row r="10" spans="1:6">
      <c r="A10" s="207"/>
      <c r="B10" s="207"/>
      <c r="C10" s="207"/>
      <c r="D10" s="207"/>
      <c r="E10" s="207"/>
      <c r="F10" s="207"/>
    </row>
    <row r="11" spans="1:6" ht="18.95" customHeight="1">
      <c r="A11" s="207"/>
      <c r="B11" s="210" t="str">
        <f>Tags!B7</f>
        <v>Name of Car Park</v>
      </c>
      <c r="C11" s="372"/>
      <c r="D11" s="373"/>
      <c r="E11" s="374"/>
      <c r="F11" s="207"/>
    </row>
    <row r="12" spans="1:6" ht="6" customHeight="1">
      <c r="A12" s="207"/>
      <c r="B12" s="209"/>
      <c r="C12" s="209"/>
      <c r="D12" s="209"/>
      <c r="E12" s="209"/>
      <c r="F12" s="207"/>
    </row>
    <row r="13" spans="1:6" ht="18.95" customHeight="1">
      <c r="A13" s="207"/>
      <c r="B13" s="210" t="str">
        <f>Tags!B8</f>
        <v>Address</v>
      </c>
      <c r="C13" s="375"/>
      <c r="D13" s="376"/>
      <c r="E13" s="377"/>
      <c r="F13" s="207"/>
    </row>
    <row r="14" spans="1:6" ht="18.95" customHeight="1">
      <c r="A14" s="207"/>
      <c r="B14" s="209"/>
      <c r="C14" s="378"/>
      <c r="D14" s="379"/>
      <c r="E14" s="380"/>
      <c r="F14" s="207"/>
    </row>
    <row r="15" spans="1:6" ht="6" customHeight="1">
      <c r="A15" s="207"/>
      <c r="B15" s="209"/>
      <c r="C15" s="209"/>
      <c r="D15" s="209"/>
      <c r="E15" s="209"/>
      <c r="F15" s="207"/>
    </row>
    <row r="16" spans="1:6" ht="18.95" customHeight="1">
      <c r="A16" s="207"/>
      <c r="B16" s="210" t="str">
        <f>Tags!B9</f>
        <v>City</v>
      </c>
      <c r="C16" s="384"/>
      <c r="D16" s="385"/>
      <c r="E16" s="362"/>
      <c r="F16" s="207"/>
    </row>
    <row r="17" spans="1:6" ht="6" customHeight="1">
      <c r="A17" s="207"/>
      <c r="B17" s="209"/>
      <c r="C17" s="209"/>
      <c r="D17" s="209"/>
      <c r="E17" s="209"/>
      <c r="F17" s="207"/>
    </row>
    <row r="18" spans="1:6" ht="18.95" customHeight="1">
      <c r="A18" s="207"/>
      <c r="B18" s="210" t="str">
        <f>Tags!B11</f>
        <v>Operator</v>
      </c>
      <c r="C18" s="381"/>
      <c r="D18" s="382"/>
      <c r="E18" s="383"/>
      <c r="F18" s="207"/>
    </row>
    <row r="19" spans="1:6" ht="6" customHeight="1">
      <c r="A19" s="207"/>
      <c r="B19" s="209"/>
      <c r="C19" s="209"/>
      <c r="D19" s="209"/>
      <c r="E19" s="209"/>
      <c r="F19" s="207"/>
    </row>
    <row r="20" spans="1:6" ht="18.95" customHeight="1">
      <c r="A20" s="207"/>
      <c r="B20" s="210" t="str">
        <f>Tags!B12</f>
        <v>Contact Name</v>
      </c>
      <c r="C20" s="369"/>
      <c r="D20" s="370"/>
      <c r="E20" s="371"/>
      <c r="F20" s="207"/>
    </row>
    <row r="21" spans="1:6" ht="6" customHeight="1">
      <c r="A21" s="207"/>
      <c r="B21" s="209"/>
      <c r="C21" s="209"/>
      <c r="D21" s="209"/>
      <c r="E21" s="209"/>
      <c r="F21" s="207"/>
    </row>
    <row r="22" spans="1:6" ht="18.95" customHeight="1">
      <c r="A22" s="207"/>
      <c r="B22" s="210" t="str">
        <f>Tags!B13</f>
        <v>e-Mail</v>
      </c>
      <c r="C22" s="212"/>
      <c r="D22" s="211" t="str">
        <f>Tags!B14</f>
        <v>Phone</v>
      </c>
      <c r="E22" s="213"/>
      <c r="F22" s="207"/>
    </row>
    <row r="23" spans="1:6" ht="6" customHeight="1">
      <c r="A23" s="207"/>
      <c r="B23" s="209"/>
      <c r="C23" s="209"/>
      <c r="D23" s="209"/>
      <c r="E23" s="209"/>
      <c r="F23" s="207"/>
    </row>
    <row r="24" spans="1:6" ht="20.100000000000001" customHeight="1">
      <c r="A24" s="207"/>
      <c r="B24" s="210" t="str">
        <f>Tags!B15</f>
        <v>Judged by</v>
      </c>
      <c r="C24" s="369"/>
      <c r="D24" s="370"/>
      <c r="E24" s="371"/>
      <c r="F24" s="207"/>
    </row>
    <row r="25" spans="1:6" ht="6.95" customHeight="1">
      <c r="A25" s="207"/>
      <c r="B25" s="210"/>
      <c r="C25" s="252"/>
      <c r="D25" s="252"/>
      <c r="E25" s="252"/>
      <c r="F25" s="207"/>
    </row>
    <row r="26" spans="1:6" ht="6.95" customHeight="1"/>
    <row r="27" spans="1:6" ht="15">
      <c r="B27" s="365" t="str">
        <f>Tags!B79</f>
        <v>Car Park Main Characteristics</v>
      </c>
      <c r="C27" s="366"/>
      <c r="D27" s="366"/>
      <c r="E27" s="367"/>
    </row>
    <row r="28" spans="1:6" ht="6" customHeight="1">
      <c r="A28" s="207"/>
      <c r="B28" s="209"/>
      <c r="C28" s="209"/>
      <c r="D28" s="209"/>
      <c r="E28" s="209"/>
      <c r="F28" s="207"/>
    </row>
    <row r="29" spans="1:6" ht="15">
      <c r="B29" s="205" t="str">
        <f>Tags!B73</f>
        <v>Year of Construction</v>
      </c>
      <c r="C29" s="205"/>
      <c r="D29" s="361"/>
      <c r="E29" s="362"/>
    </row>
    <row r="30" spans="1:6" ht="6" customHeight="1">
      <c r="A30" s="207"/>
      <c r="B30" s="209"/>
      <c r="C30" s="209"/>
      <c r="D30" s="214"/>
      <c r="E30" s="209"/>
      <c r="F30" s="207"/>
    </row>
    <row r="31" spans="1:6" ht="15">
      <c r="B31" s="205" t="str">
        <f>Tags!B10</f>
        <v>Number of Spaces</v>
      </c>
      <c r="C31" s="204"/>
      <c r="D31" s="361"/>
      <c r="E31" s="362"/>
    </row>
    <row r="32" spans="1:6" ht="6" customHeight="1">
      <c r="A32" s="207"/>
      <c r="B32" s="209"/>
      <c r="C32" s="209"/>
      <c r="D32" s="214"/>
      <c r="E32" s="209"/>
      <c r="F32" s="207"/>
    </row>
    <row r="33" spans="1:6" ht="15">
      <c r="B33" s="205" t="str">
        <f>Tags!B78</f>
        <v>Number of Floors</v>
      </c>
      <c r="C33" s="204"/>
      <c r="D33" s="361"/>
      <c r="E33" s="362"/>
    </row>
    <row r="34" spans="1:6" ht="6" customHeight="1">
      <c r="A34" s="207"/>
      <c r="B34" s="209"/>
      <c r="C34" s="209"/>
      <c r="D34" s="214"/>
      <c r="E34" s="209"/>
      <c r="F34" s="207"/>
    </row>
    <row r="35" spans="1:6" ht="15">
      <c r="B35" s="205" t="str">
        <f>Tags!B77</f>
        <v>Number of Lifts</v>
      </c>
      <c r="C35" s="204"/>
      <c r="D35" s="361"/>
      <c r="E35" s="362"/>
    </row>
    <row r="36" spans="1:6" ht="6" customHeight="1">
      <c r="A36" s="207"/>
      <c r="B36" s="209"/>
      <c r="C36" s="209"/>
      <c r="D36" s="214"/>
      <c r="E36" s="209"/>
      <c r="F36" s="207"/>
    </row>
    <row r="37" spans="1:6" ht="15">
      <c r="B37" s="205" t="str">
        <f>Tags!B74</f>
        <v>Structure</v>
      </c>
      <c r="C37" s="204"/>
      <c r="D37" s="363"/>
      <c r="E37" s="364"/>
    </row>
    <row r="38" spans="1:6" ht="6" customHeight="1">
      <c r="A38" s="207"/>
      <c r="B38" s="209"/>
      <c r="C38" s="209"/>
      <c r="D38" s="214"/>
      <c r="E38" s="209"/>
      <c r="F38" s="207"/>
    </row>
    <row r="39" spans="1:6" ht="15">
      <c r="B39" s="205" t="str">
        <f>Tags!B75</f>
        <v>Type</v>
      </c>
      <c r="C39" s="204"/>
      <c r="D39" s="363"/>
      <c r="E39" s="364"/>
    </row>
    <row r="40" spans="1:6" ht="6" customHeight="1">
      <c r="A40" s="207"/>
      <c r="B40" s="209"/>
      <c r="C40" s="209"/>
      <c r="D40" s="214"/>
      <c r="E40" s="209"/>
      <c r="F40" s="207"/>
    </row>
    <row r="41" spans="1:6" ht="15">
      <c r="B41" s="205" t="str">
        <f>Tags!B76</f>
        <v>Access Control System</v>
      </c>
      <c r="C41" s="204"/>
      <c r="D41" s="361"/>
      <c r="E41" s="362"/>
    </row>
    <row r="42" spans="1:6" ht="8.1" customHeight="1">
      <c r="A42" s="207"/>
      <c r="B42" s="209"/>
      <c r="C42" s="209"/>
      <c r="D42" s="214"/>
      <c r="E42" s="209"/>
      <c r="F42" s="207"/>
    </row>
    <row r="43" spans="1:6" hidden="1"/>
    <row r="44" spans="1:6" ht="6" hidden="1" customHeight="1">
      <c r="A44" s="207"/>
      <c r="B44" s="209"/>
      <c r="C44" s="209"/>
      <c r="D44" s="209"/>
      <c r="E44" s="209"/>
      <c r="F44" s="207"/>
    </row>
  </sheetData>
  <sheetProtection algorithmName="SHA-512" hashValue="iPesveiIsNrAvGm3tl9W0A68Dz2t2cDY+k6Sly9UXQhU8xeNlrjedgCm3FsAER1rRrmWjd0d2vSTSfdEzYuhOw==" saltValue="HNcClBRhaukj9XQsYqCULg==" spinCount="100000" sheet="1" objects="1" scenarios="1" formatRows="0" selectLockedCells="1"/>
  <mergeCells count="16">
    <mergeCell ref="B27:E27"/>
    <mergeCell ref="C9:E9"/>
    <mergeCell ref="C24:E24"/>
    <mergeCell ref="C11:E11"/>
    <mergeCell ref="C13:E13"/>
    <mergeCell ref="C14:E14"/>
    <mergeCell ref="C18:E18"/>
    <mergeCell ref="C20:E20"/>
    <mergeCell ref="C16:E16"/>
    <mergeCell ref="D41:E41"/>
    <mergeCell ref="D35:E35"/>
    <mergeCell ref="D29:E29"/>
    <mergeCell ref="D39:E39"/>
    <mergeCell ref="D37:E37"/>
    <mergeCell ref="D33:E33"/>
    <mergeCell ref="D31:E31"/>
  </mergeCells>
  <phoneticPr fontId="24" type="noConversion"/>
  <dataValidations count="1">
    <dataValidation type="list" allowBlank="1" showInputMessage="1" showErrorMessage="1" sqref="E3">
      <formula1>LanguageRange</formula1>
    </dataValidation>
  </dataValidations>
  <printOptions horizontalCentered="1"/>
  <pageMargins left="0.71" right="0.71" top="0.75000000000000011" bottom="0.75000000000000011" header="0.31" footer="0.31"/>
  <pageSetup paperSize="9" scale="78" orientation="portrait" horizontalDpi="300" verticalDpi="300" r:id="rId1"/>
  <headerFooter>
    <oddHeader>&amp;L&amp;"Calibri,Bold"&amp;K000000EPA - Checklist for the European Standard Parking Award</oddHeader>
    <oddFooter>&amp;L&amp;K000000[File]&amp;A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1" r:id="rId4" name="Button 7">
              <controlPr defaultSize="0" print="0" autoFill="0" autoPict="0" macro="[0]!ClearUnlockedAllSheets">
                <anchor moveWithCells="1" sizeWithCells="1">
                  <from>
                    <xdr:col>4</xdr:col>
                    <xdr:colOff>0</xdr:colOff>
                    <xdr:row>5</xdr:row>
                    <xdr:rowOff>0</xdr:rowOff>
                  </from>
                  <to>
                    <xdr:col>5</xdr:col>
                    <xdr:colOff>9525</xdr:colOff>
                    <xdr:row>7</xdr:row>
                    <xdr:rowOff>0</xdr:rowOff>
                  </to>
                </anchor>
              </controlPr>
            </control>
          </mc:Choice>
        </mc:AlternateContent>
        <mc:AlternateContent xmlns:mc="http://schemas.openxmlformats.org/markup-compatibility/2006">
          <mc:Choice Requires="x14">
            <control shapeId="1035" r:id="rId5" name="Button 11">
              <controlPr defaultSize="0" print="0" autoFill="0" autoPict="0" macro="[0]!printall">
                <anchor moveWithCells="1" sizeWithCells="1">
                  <from>
                    <xdr:col>3</xdr:col>
                    <xdr:colOff>0</xdr:colOff>
                    <xdr:row>5</xdr:row>
                    <xdr:rowOff>0</xdr:rowOff>
                  </from>
                  <to>
                    <xdr:col>3</xdr:col>
                    <xdr:colOff>1819275</xdr:colOff>
                    <xdr:row>7</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Options!$B$224:$B$226</xm:f>
          </x14:formula1>
          <xm:sqref>D37</xm:sqref>
        </x14:dataValidation>
        <x14:dataValidation type="list" allowBlank="1" showInputMessage="1" showErrorMessage="1">
          <x14:formula1>
            <xm:f>Options!$B$228:$B$231</xm:f>
          </x14:formula1>
          <xm:sqref>D39</xm:sqref>
        </x14:dataValidation>
        <x14:dataValidation type="list" allowBlank="1" showInputMessage="1" showErrorMessage="1">
          <x14:formula1>
            <xm:f>Options!$B$233:$B$235</xm:f>
          </x14:formula1>
          <xm:sqref>D41</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G581"/>
  <sheetViews>
    <sheetView topLeftCell="E1" workbookViewId="0">
      <selection activeCell="G1" sqref="G1:G1048576"/>
    </sheetView>
  </sheetViews>
  <sheetFormatPr baseColWidth="10" defaultColWidth="10.86328125" defaultRowHeight="14.25"/>
  <cols>
    <col min="1" max="1" width="9.3984375" style="6" customWidth="1"/>
    <col min="2" max="2" width="51.86328125" style="6" customWidth="1"/>
    <col min="3" max="3" width="7.265625" style="6" customWidth="1"/>
    <col min="4" max="7" width="63" style="6" customWidth="1"/>
    <col min="8" max="16384" width="10.86328125" style="6"/>
  </cols>
  <sheetData>
    <row r="1" spans="1:7" ht="25.9" thickBot="1">
      <c r="A1" s="181">
        <f>'Languages Available'!B1</f>
        <v>1</v>
      </c>
      <c r="B1" s="195" t="s">
        <v>1349</v>
      </c>
      <c r="C1" s="196"/>
      <c r="D1" s="180" t="str">
        <f>'General Info'!E3</f>
        <v>English</v>
      </c>
    </row>
    <row r="2" spans="1:7">
      <c r="D2" s="6">
        <v>1</v>
      </c>
      <c r="E2" s="6">
        <v>2</v>
      </c>
      <c r="F2" s="6">
        <v>3</v>
      </c>
      <c r="G2" s="6">
        <v>4</v>
      </c>
    </row>
    <row r="3" spans="1:7" ht="21">
      <c r="B3" s="183" t="s">
        <v>1347</v>
      </c>
      <c r="C3" s="182"/>
      <c r="D3" s="194" t="str">
        <f>VLOOKUP(D2,'Languages Available'!$A$3:$B$23,2)</f>
        <v>English</v>
      </c>
      <c r="E3" s="194" t="str">
        <f>VLOOKUP(E2,'Languages Available'!$A$3:$B$23,2)</f>
        <v>Dutch</v>
      </c>
      <c r="F3" s="194" t="str">
        <f>VLOOKUP(F2,'Languages Available'!$A$3:$B$23,2)</f>
        <v>Français</v>
      </c>
      <c r="G3" s="194" t="str">
        <f>VLOOKUP(G2,'Languages Available'!$A$3:$B$23,2)</f>
        <v>Deutsch</v>
      </c>
    </row>
    <row r="4" spans="1:7" ht="199.5">
      <c r="A4" s="6">
        <f t="shared" ref="A4:A5" si="0">C4</f>
        <v>1</v>
      </c>
      <c r="B4" s="184" t="str">
        <f>VLOOKUP(A4,$C$3:$AZ$199,1+Languages!$A$1)</f>
        <v>God save the queen
Suspendisse hendrerit ligula eget odio. Sed erat nisi, rhoncus id, imperdiet quis, blandit et, felis. In at nulla mattis neque commodo venenatis. Cras ultrices tincidunt risus. Quisque dictum diam adipiscing arcu. In diam turpis, suscipit fringilla, dapibus quis, dictum ut, ipsum. Phasellus id elit in dui bibendum bibendum.
Ut metus diam, lacinia ut, tincidunt eu, dapibus sit amet, mauris. Donec varius, felis eget lobortis vehicula, magna sapien elementum tellus, ut iaculis dui orci sed arcu. Nam nibh erat, auctor sit amet, commodo ut, ornare id, ante. In imperdiet, justo id eleifend faucibus, urna dolor consectetuer dui, vel pretium risus purus sed pede.Etiam rutrum libero posuere libero.</v>
      </c>
      <c r="C4" s="6">
        <v>1</v>
      </c>
      <c r="D4" s="184" t="s">
        <v>1752</v>
      </c>
      <c r="E4" s="184" t="s">
        <v>1751</v>
      </c>
      <c r="F4" s="184" t="s">
        <v>1750</v>
      </c>
      <c r="G4" s="184" t="s">
        <v>1753</v>
      </c>
    </row>
    <row r="5" spans="1:7">
      <c r="A5" s="6">
        <f t="shared" si="0"/>
        <v>2</v>
      </c>
      <c r="B5" s="185" t="str">
        <f>VLOOKUP(A5,$C$3:$AZ$199,1+Languages!$A$1)</f>
        <v>Help in English</v>
      </c>
      <c r="C5" s="6">
        <v>2</v>
      </c>
      <c r="D5" s="185" t="s">
        <v>1748</v>
      </c>
      <c r="E5" s="185" t="s">
        <v>1749</v>
      </c>
      <c r="F5" s="185" t="s">
        <v>1749</v>
      </c>
      <c r="G5" s="185" t="s">
        <v>1754</v>
      </c>
    </row>
    <row r="6" spans="1:7">
      <c r="B6" s="185"/>
      <c r="D6" s="185"/>
      <c r="E6" s="185"/>
      <c r="F6" s="185"/>
      <c r="G6" s="185"/>
    </row>
    <row r="7" spans="1:7">
      <c r="B7" s="185"/>
      <c r="D7" s="185"/>
      <c r="E7" s="185"/>
      <c r="F7" s="185"/>
      <c r="G7" s="185"/>
    </row>
    <row r="8" spans="1:7">
      <c r="B8" s="185"/>
      <c r="D8" s="185"/>
      <c r="E8" s="185"/>
      <c r="F8" s="185"/>
      <c r="G8" s="185"/>
    </row>
    <row r="9" spans="1:7">
      <c r="B9" s="185"/>
      <c r="D9" s="185"/>
      <c r="E9" s="185"/>
      <c r="F9" s="185"/>
      <c r="G9" s="185"/>
    </row>
    <row r="10" spans="1:7">
      <c r="B10" s="185"/>
      <c r="D10" s="185"/>
      <c r="E10" s="185"/>
      <c r="F10" s="185"/>
      <c r="G10" s="185"/>
    </row>
    <row r="11" spans="1:7">
      <c r="B11" s="185"/>
      <c r="D11" s="185"/>
      <c r="E11" s="185"/>
      <c r="F11" s="185"/>
      <c r="G11" s="185"/>
    </row>
    <row r="12" spans="1:7">
      <c r="B12" s="185"/>
      <c r="D12" s="185"/>
      <c r="E12" s="185"/>
      <c r="F12" s="185"/>
      <c r="G12" s="185"/>
    </row>
    <row r="13" spans="1:7">
      <c r="B13" s="185"/>
      <c r="D13" s="185"/>
      <c r="E13" s="185"/>
      <c r="F13" s="185"/>
      <c r="G13" s="185"/>
    </row>
    <row r="14" spans="1:7">
      <c r="B14" s="185"/>
      <c r="D14" s="185"/>
      <c r="E14" s="185"/>
      <c r="F14" s="185"/>
      <c r="G14" s="185"/>
    </row>
    <row r="15" spans="1:7">
      <c r="B15" s="185"/>
      <c r="D15" s="185"/>
      <c r="E15" s="185"/>
      <c r="F15" s="185"/>
      <c r="G15" s="185"/>
    </row>
    <row r="16" spans="1:7">
      <c r="B16" s="185"/>
      <c r="D16" s="185"/>
      <c r="E16" s="185"/>
      <c r="F16" s="185"/>
      <c r="G16" s="185"/>
    </row>
    <row r="17" spans="2:7">
      <c r="B17" s="185"/>
      <c r="D17" s="185"/>
      <c r="E17" s="185"/>
      <c r="F17" s="185"/>
      <c r="G17" s="185"/>
    </row>
    <row r="18" spans="2:7">
      <c r="B18" s="185"/>
      <c r="D18" s="185"/>
      <c r="E18" s="185"/>
      <c r="F18" s="185"/>
      <c r="G18" s="185"/>
    </row>
    <row r="19" spans="2:7">
      <c r="B19" s="185"/>
      <c r="D19" s="185"/>
      <c r="E19" s="185"/>
      <c r="F19" s="185"/>
      <c r="G19" s="185"/>
    </row>
    <row r="20" spans="2:7">
      <c r="B20" s="185"/>
      <c r="D20" s="185"/>
      <c r="E20" s="185"/>
      <c r="F20" s="185"/>
      <c r="G20" s="185"/>
    </row>
    <row r="21" spans="2:7">
      <c r="B21" s="185"/>
      <c r="D21" s="185"/>
      <c r="E21" s="185"/>
      <c r="F21" s="185"/>
      <c r="G21" s="185"/>
    </row>
    <row r="22" spans="2:7">
      <c r="B22" s="185"/>
      <c r="D22" s="185"/>
      <c r="E22" s="185"/>
      <c r="F22" s="185"/>
      <c r="G22" s="185"/>
    </row>
    <row r="23" spans="2:7">
      <c r="B23" s="185"/>
      <c r="D23" s="185"/>
      <c r="E23" s="185"/>
      <c r="F23" s="185"/>
      <c r="G23" s="185"/>
    </row>
    <row r="24" spans="2:7">
      <c r="B24" s="185"/>
      <c r="D24" s="185"/>
      <c r="E24" s="185"/>
      <c r="F24" s="185"/>
      <c r="G24" s="185"/>
    </row>
    <row r="25" spans="2:7">
      <c r="B25" s="185"/>
      <c r="D25" s="185"/>
      <c r="E25" s="185"/>
      <c r="F25" s="185"/>
      <c r="G25" s="185"/>
    </row>
    <row r="26" spans="2:7">
      <c r="B26" s="185"/>
      <c r="D26" s="185"/>
      <c r="E26" s="185"/>
      <c r="F26" s="185"/>
      <c r="G26" s="185"/>
    </row>
    <row r="27" spans="2:7">
      <c r="B27" s="185"/>
      <c r="D27" s="185"/>
      <c r="E27" s="185"/>
      <c r="F27" s="185"/>
      <c r="G27" s="185"/>
    </row>
    <row r="28" spans="2:7">
      <c r="B28" s="185"/>
      <c r="D28" s="185"/>
      <c r="E28" s="185"/>
      <c r="F28" s="185"/>
      <c r="G28" s="185"/>
    </row>
    <row r="29" spans="2:7">
      <c r="B29" s="185"/>
      <c r="D29" s="185"/>
      <c r="E29" s="185"/>
      <c r="F29" s="185"/>
      <c r="G29" s="185"/>
    </row>
    <row r="30" spans="2:7">
      <c r="B30" s="185"/>
      <c r="D30" s="185"/>
      <c r="E30" s="185"/>
      <c r="F30" s="185"/>
      <c r="G30" s="185"/>
    </row>
    <row r="31" spans="2:7">
      <c r="B31" s="185"/>
      <c r="D31" s="185"/>
      <c r="E31" s="185"/>
      <c r="F31" s="185"/>
      <c r="G31" s="185"/>
    </row>
    <row r="32" spans="2:7">
      <c r="B32" s="185"/>
      <c r="D32" s="185"/>
      <c r="E32" s="185"/>
      <c r="F32" s="185"/>
      <c r="G32" s="185"/>
    </row>
    <row r="33" spans="2:7">
      <c r="B33" s="185"/>
      <c r="D33" s="185"/>
      <c r="E33" s="185"/>
      <c r="F33" s="185"/>
      <c r="G33" s="185"/>
    </row>
    <row r="34" spans="2:7">
      <c r="B34" s="185"/>
      <c r="D34" s="185"/>
      <c r="E34" s="185"/>
      <c r="F34" s="185"/>
      <c r="G34" s="185"/>
    </row>
    <row r="35" spans="2:7">
      <c r="B35" s="185"/>
      <c r="D35" s="185"/>
      <c r="E35" s="185"/>
      <c r="F35" s="185"/>
      <c r="G35" s="185"/>
    </row>
    <row r="36" spans="2:7">
      <c r="B36" s="185"/>
      <c r="D36" s="185"/>
      <c r="E36" s="185"/>
      <c r="F36" s="185"/>
      <c r="G36" s="185"/>
    </row>
    <row r="37" spans="2:7">
      <c r="B37" s="185"/>
      <c r="D37" s="185"/>
      <c r="E37" s="185"/>
      <c r="F37" s="185"/>
      <c r="G37" s="185"/>
    </row>
    <row r="38" spans="2:7">
      <c r="B38" s="185"/>
      <c r="D38" s="185"/>
      <c r="E38" s="185"/>
      <c r="F38" s="185"/>
      <c r="G38" s="185"/>
    </row>
    <row r="39" spans="2:7">
      <c r="B39" s="185"/>
      <c r="D39" s="185"/>
      <c r="E39" s="185"/>
      <c r="F39" s="185"/>
      <c r="G39" s="185"/>
    </row>
    <row r="40" spans="2:7">
      <c r="B40" s="185"/>
      <c r="D40" s="185"/>
      <c r="E40" s="185"/>
      <c r="F40" s="185"/>
      <c r="G40" s="185"/>
    </row>
    <row r="41" spans="2:7">
      <c r="B41" s="185"/>
      <c r="D41" s="185"/>
      <c r="E41" s="185"/>
      <c r="F41" s="185"/>
      <c r="G41" s="185"/>
    </row>
    <row r="42" spans="2:7">
      <c r="B42" s="185"/>
      <c r="D42" s="185"/>
      <c r="E42" s="185"/>
      <c r="F42" s="185"/>
      <c r="G42" s="185"/>
    </row>
    <row r="43" spans="2:7">
      <c r="B43" s="185"/>
      <c r="D43" s="185"/>
      <c r="E43" s="185"/>
      <c r="F43" s="185"/>
      <c r="G43" s="185"/>
    </row>
    <row r="44" spans="2:7">
      <c r="B44" s="185"/>
      <c r="D44" s="185"/>
      <c r="E44" s="185"/>
      <c r="F44" s="185"/>
      <c r="G44" s="185"/>
    </row>
    <row r="45" spans="2:7">
      <c r="B45" s="185"/>
      <c r="D45" s="185"/>
      <c r="E45" s="185"/>
      <c r="F45" s="185"/>
      <c r="G45" s="185"/>
    </row>
    <row r="46" spans="2:7">
      <c r="B46" s="185"/>
      <c r="D46" s="185"/>
      <c r="E46" s="185"/>
      <c r="F46" s="185"/>
      <c r="G46" s="185"/>
    </row>
    <row r="47" spans="2:7">
      <c r="B47" s="185"/>
      <c r="D47" s="185"/>
      <c r="E47" s="185"/>
      <c r="F47" s="185"/>
      <c r="G47" s="185"/>
    </row>
    <row r="48" spans="2:7">
      <c r="B48" s="185"/>
      <c r="D48" s="185"/>
      <c r="E48" s="185"/>
      <c r="F48" s="185"/>
      <c r="G48" s="185"/>
    </row>
    <row r="49" spans="2:7">
      <c r="B49" s="185"/>
      <c r="D49" s="185"/>
      <c r="E49" s="185"/>
      <c r="F49" s="185"/>
      <c r="G49" s="185"/>
    </row>
    <row r="50" spans="2:7">
      <c r="B50" s="185"/>
      <c r="D50" s="185"/>
      <c r="E50" s="185"/>
      <c r="F50" s="185"/>
      <c r="G50" s="185"/>
    </row>
    <row r="51" spans="2:7">
      <c r="B51" s="185"/>
      <c r="D51" s="185"/>
      <c r="E51" s="185"/>
      <c r="F51" s="185"/>
      <c r="G51" s="185"/>
    </row>
    <row r="52" spans="2:7">
      <c r="B52" s="185"/>
      <c r="D52" s="185"/>
      <c r="E52" s="185"/>
      <c r="F52" s="185"/>
      <c r="G52" s="185"/>
    </row>
    <row r="53" spans="2:7">
      <c r="B53" s="185"/>
      <c r="D53" s="185"/>
      <c r="E53" s="185"/>
      <c r="F53" s="185"/>
      <c r="G53" s="185"/>
    </row>
    <row r="54" spans="2:7">
      <c r="B54" s="185"/>
      <c r="D54" s="185"/>
      <c r="E54" s="185"/>
      <c r="F54" s="185"/>
      <c r="G54" s="185"/>
    </row>
    <row r="55" spans="2:7">
      <c r="B55" s="185"/>
      <c r="D55" s="185"/>
      <c r="E55" s="185"/>
      <c r="F55" s="185"/>
      <c r="G55" s="185"/>
    </row>
    <row r="56" spans="2:7">
      <c r="B56" s="185"/>
      <c r="D56" s="185"/>
      <c r="E56" s="185"/>
      <c r="F56" s="185"/>
      <c r="G56" s="185"/>
    </row>
    <row r="57" spans="2:7">
      <c r="B57" s="185"/>
      <c r="D57" s="185"/>
      <c r="E57" s="185"/>
      <c r="F57" s="185"/>
      <c r="G57" s="185"/>
    </row>
    <row r="58" spans="2:7">
      <c r="B58" s="185"/>
      <c r="D58" s="185"/>
      <c r="E58" s="185"/>
      <c r="F58" s="185"/>
      <c r="G58" s="185"/>
    </row>
    <row r="59" spans="2:7">
      <c r="B59" s="185"/>
      <c r="D59" s="185"/>
      <c r="E59" s="185"/>
      <c r="F59" s="185"/>
      <c r="G59" s="185"/>
    </row>
    <row r="60" spans="2:7">
      <c r="B60" s="185"/>
      <c r="D60" s="185"/>
      <c r="E60" s="185"/>
      <c r="F60" s="185"/>
      <c r="G60" s="185"/>
    </row>
    <row r="61" spans="2:7">
      <c r="B61" s="185"/>
      <c r="D61" s="185"/>
      <c r="E61" s="185"/>
      <c r="F61" s="185"/>
      <c r="G61" s="185"/>
    </row>
    <row r="62" spans="2:7">
      <c r="B62" s="185"/>
      <c r="D62" s="185"/>
      <c r="E62" s="185"/>
      <c r="F62" s="185"/>
      <c r="G62" s="185"/>
    </row>
    <row r="63" spans="2:7">
      <c r="B63" s="185"/>
      <c r="D63" s="185"/>
      <c r="E63" s="185"/>
      <c r="F63" s="185"/>
      <c r="G63" s="185"/>
    </row>
    <row r="64" spans="2:7">
      <c r="B64" s="185"/>
      <c r="D64" s="185"/>
      <c r="E64" s="185"/>
      <c r="F64" s="185"/>
      <c r="G64" s="185"/>
    </row>
    <row r="65" spans="2:7">
      <c r="B65" s="185"/>
      <c r="D65" s="185"/>
      <c r="E65" s="185"/>
      <c r="F65" s="185"/>
      <c r="G65" s="185"/>
    </row>
    <row r="66" spans="2:7">
      <c r="B66" s="185"/>
      <c r="D66" s="185"/>
      <c r="E66" s="185"/>
      <c r="F66" s="185"/>
      <c r="G66" s="185"/>
    </row>
    <row r="67" spans="2:7">
      <c r="B67" s="185"/>
      <c r="D67" s="185"/>
      <c r="E67" s="185"/>
      <c r="F67" s="185"/>
      <c r="G67" s="185"/>
    </row>
    <row r="68" spans="2:7">
      <c r="B68" s="185"/>
      <c r="D68" s="185"/>
      <c r="E68" s="185"/>
      <c r="F68" s="185"/>
      <c r="G68" s="185"/>
    </row>
    <row r="69" spans="2:7">
      <c r="B69" s="185"/>
      <c r="D69" s="185"/>
      <c r="E69" s="185"/>
      <c r="F69" s="185"/>
      <c r="G69" s="185"/>
    </row>
    <row r="70" spans="2:7">
      <c r="B70" s="185"/>
      <c r="D70" s="185"/>
      <c r="E70" s="185"/>
      <c r="F70" s="185"/>
      <c r="G70" s="185"/>
    </row>
    <row r="71" spans="2:7">
      <c r="B71" s="185"/>
      <c r="D71" s="185"/>
      <c r="E71" s="185"/>
      <c r="F71" s="185"/>
      <c r="G71" s="185"/>
    </row>
    <row r="72" spans="2:7">
      <c r="B72" s="185"/>
      <c r="D72" s="185"/>
      <c r="E72" s="185"/>
      <c r="F72" s="185"/>
      <c r="G72" s="185"/>
    </row>
    <row r="73" spans="2:7">
      <c r="B73" s="185"/>
      <c r="D73" s="185"/>
      <c r="E73" s="185"/>
      <c r="F73" s="185"/>
      <c r="G73" s="185"/>
    </row>
    <row r="74" spans="2:7">
      <c r="B74" s="185"/>
      <c r="D74" s="185"/>
      <c r="E74" s="185"/>
      <c r="F74" s="185"/>
      <c r="G74" s="185"/>
    </row>
    <row r="75" spans="2:7">
      <c r="B75" s="185"/>
      <c r="D75" s="185"/>
      <c r="E75" s="185"/>
      <c r="F75" s="185"/>
      <c r="G75" s="185"/>
    </row>
    <row r="76" spans="2:7">
      <c r="B76" s="185"/>
      <c r="D76" s="185"/>
      <c r="E76" s="185"/>
      <c r="F76" s="185"/>
      <c r="G76" s="185"/>
    </row>
    <row r="77" spans="2:7">
      <c r="B77" s="185"/>
      <c r="D77" s="185"/>
      <c r="E77" s="185"/>
      <c r="F77" s="185"/>
      <c r="G77" s="185"/>
    </row>
    <row r="78" spans="2:7">
      <c r="B78" s="185"/>
      <c r="D78" s="185"/>
      <c r="E78" s="185"/>
      <c r="F78" s="185"/>
      <c r="G78" s="185"/>
    </row>
    <row r="79" spans="2:7">
      <c r="B79" s="185"/>
      <c r="D79" s="185"/>
      <c r="E79" s="185"/>
      <c r="F79" s="185"/>
      <c r="G79" s="185"/>
    </row>
    <row r="80" spans="2:7">
      <c r="B80" s="185"/>
      <c r="D80" s="185"/>
      <c r="E80" s="185"/>
      <c r="F80" s="185"/>
      <c r="G80" s="185"/>
    </row>
    <row r="81" spans="2:7">
      <c r="B81" s="185"/>
      <c r="D81" s="185"/>
      <c r="E81" s="185"/>
      <c r="F81" s="185"/>
      <c r="G81" s="185"/>
    </row>
    <row r="82" spans="2:7">
      <c r="B82" s="185"/>
      <c r="D82" s="185"/>
      <c r="E82" s="185"/>
      <c r="F82" s="185"/>
      <c r="G82" s="185"/>
    </row>
    <row r="83" spans="2:7">
      <c r="B83" s="185"/>
      <c r="D83" s="185"/>
      <c r="E83" s="185"/>
      <c r="F83" s="185"/>
      <c r="G83" s="185"/>
    </row>
    <row r="84" spans="2:7">
      <c r="B84" s="185"/>
      <c r="D84" s="185"/>
      <c r="E84" s="185"/>
      <c r="F84" s="185"/>
      <c r="G84" s="185"/>
    </row>
    <row r="85" spans="2:7">
      <c r="B85" s="185"/>
      <c r="D85" s="185"/>
      <c r="E85" s="185"/>
      <c r="F85" s="185"/>
      <c r="G85" s="185"/>
    </row>
    <row r="86" spans="2:7">
      <c r="B86" s="185"/>
      <c r="D86" s="185"/>
      <c r="E86" s="185"/>
      <c r="F86" s="185"/>
      <c r="G86" s="185"/>
    </row>
    <row r="87" spans="2:7">
      <c r="B87" s="185"/>
      <c r="D87" s="185"/>
      <c r="E87" s="185"/>
      <c r="F87" s="185"/>
      <c r="G87" s="185"/>
    </row>
    <row r="88" spans="2:7">
      <c r="B88" s="185"/>
      <c r="D88" s="185"/>
      <c r="E88" s="185"/>
      <c r="F88" s="185"/>
      <c r="G88" s="185"/>
    </row>
    <row r="89" spans="2:7">
      <c r="B89" s="185"/>
      <c r="D89" s="185"/>
      <c r="E89" s="185"/>
      <c r="F89" s="185"/>
      <c r="G89" s="185"/>
    </row>
    <row r="90" spans="2:7">
      <c r="B90" s="185"/>
      <c r="D90" s="185"/>
      <c r="E90" s="185"/>
      <c r="F90" s="185"/>
      <c r="G90" s="185"/>
    </row>
    <row r="91" spans="2:7">
      <c r="B91" s="185"/>
      <c r="D91" s="185"/>
      <c r="E91" s="185"/>
      <c r="F91" s="185"/>
      <c r="G91" s="185"/>
    </row>
    <row r="92" spans="2:7">
      <c r="B92" s="185"/>
      <c r="D92" s="185"/>
      <c r="E92" s="185"/>
      <c r="F92" s="185"/>
      <c r="G92" s="185"/>
    </row>
    <row r="93" spans="2:7">
      <c r="B93" s="185"/>
      <c r="D93" s="187"/>
      <c r="E93" s="187"/>
      <c r="F93" s="187"/>
      <c r="G93" s="187"/>
    </row>
    <row r="94" spans="2:7">
      <c r="B94" s="185"/>
      <c r="D94" s="187"/>
      <c r="E94" s="187"/>
      <c r="F94" s="187"/>
      <c r="G94" s="187"/>
    </row>
    <row r="95" spans="2:7">
      <c r="B95" s="185"/>
      <c r="D95" s="187"/>
      <c r="E95" s="187"/>
      <c r="F95" s="187"/>
      <c r="G95" s="187"/>
    </row>
    <row r="96" spans="2:7">
      <c r="B96" s="185"/>
      <c r="D96" s="188"/>
      <c r="E96" s="188"/>
      <c r="F96" s="188"/>
      <c r="G96" s="188"/>
    </row>
    <row r="97" spans="2:7">
      <c r="B97" s="185"/>
      <c r="D97" s="189"/>
      <c r="E97" s="189"/>
      <c r="F97" s="189"/>
      <c r="G97" s="189"/>
    </row>
    <row r="98" spans="2:7">
      <c r="B98" s="185"/>
      <c r="D98" s="187"/>
      <c r="E98" s="187"/>
      <c r="F98" s="187"/>
      <c r="G98" s="187"/>
    </row>
    <row r="99" spans="2:7">
      <c r="B99" s="185"/>
      <c r="D99" s="187"/>
      <c r="E99" s="187"/>
      <c r="F99" s="187"/>
      <c r="G99" s="187"/>
    </row>
    <row r="100" spans="2:7">
      <c r="B100" s="185"/>
      <c r="D100" s="187"/>
      <c r="E100" s="187"/>
      <c r="F100" s="187"/>
      <c r="G100" s="187"/>
    </row>
    <row r="101" spans="2:7">
      <c r="B101" s="185"/>
      <c r="D101" s="185"/>
      <c r="E101" s="185"/>
      <c r="F101" s="185"/>
      <c r="G101" s="185"/>
    </row>
    <row r="102" spans="2:7">
      <c r="B102" s="185"/>
      <c r="D102" s="185"/>
      <c r="E102" s="185"/>
      <c r="F102" s="185"/>
      <c r="G102" s="185"/>
    </row>
    <row r="103" spans="2:7">
      <c r="B103" s="185"/>
      <c r="D103" s="185"/>
      <c r="E103" s="185"/>
      <c r="F103" s="185"/>
      <c r="G103" s="185"/>
    </row>
    <row r="104" spans="2:7">
      <c r="B104" s="185"/>
      <c r="D104" s="185"/>
      <c r="E104" s="185"/>
      <c r="F104" s="185"/>
      <c r="G104" s="185"/>
    </row>
    <row r="105" spans="2:7">
      <c r="B105" s="185"/>
      <c r="D105" s="185"/>
      <c r="E105" s="185"/>
      <c r="F105" s="185"/>
      <c r="G105" s="185"/>
    </row>
    <row r="106" spans="2:7">
      <c r="B106" s="185"/>
      <c r="D106" s="185"/>
      <c r="E106" s="185"/>
      <c r="F106" s="185"/>
      <c r="G106" s="185"/>
    </row>
    <row r="107" spans="2:7">
      <c r="B107" s="185"/>
      <c r="D107" s="185"/>
      <c r="E107" s="185"/>
      <c r="F107" s="185"/>
      <c r="G107" s="185"/>
    </row>
    <row r="108" spans="2:7">
      <c r="B108" s="185"/>
      <c r="D108" s="185"/>
      <c r="E108" s="185"/>
      <c r="F108" s="185"/>
      <c r="G108" s="185"/>
    </row>
    <row r="109" spans="2:7">
      <c r="B109" s="185"/>
      <c r="D109" s="185"/>
      <c r="E109" s="185"/>
      <c r="F109" s="185"/>
      <c r="G109" s="185"/>
    </row>
    <row r="110" spans="2:7">
      <c r="B110" s="185"/>
      <c r="D110" s="185"/>
      <c r="E110" s="185"/>
      <c r="F110" s="185"/>
      <c r="G110" s="185"/>
    </row>
    <row r="111" spans="2:7">
      <c r="B111" s="185"/>
      <c r="D111" s="185"/>
      <c r="E111" s="185"/>
      <c r="F111" s="185"/>
      <c r="G111" s="185"/>
    </row>
    <row r="112" spans="2:7">
      <c r="B112" s="185"/>
      <c r="D112" s="185"/>
      <c r="E112" s="185"/>
      <c r="F112" s="185"/>
      <c r="G112" s="185"/>
    </row>
    <row r="113" spans="2:7">
      <c r="B113" s="185"/>
      <c r="D113" s="185"/>
      <c r="E113" s="185"/>
      <c r="F113" s="185"/>
      <c r="G113" s="185"/>
    </row>
    <row r="114" spans="2:7">
      <c r="B114" s="185"/>
      <c r="D114" s="185"/>
      <c r="E114" s="185"/>
      <c r="F114" s="185"/>
      <c r="G114" s="185"/>
    </row>
    <row r="115" spans="2:7">
      <c r="B115" s="185"/>
      <c r="D115" s="185"/>
      <c r="E115" s="185"/>
      <c r="F115" s="185"/>
      <c r="G115" s="185"/>
    </row>
    <row r="116" spans="2:7">
      <c r="B116" s="185"/>
      <c r="D116" s="185"/>
      <c r="E116" s="185"/>
      <c r="F116" s="185"/>
      <c r="G116" s="185"/>
    </row>
    <row r="117" spans="2:7">
      <c r="B117" s="185"/>
      <c r="D117" s="185"/>
      <c r="E117" s="185"/>
      <c r="F117" s="185"/>
      <c r="G117" s="185"/>
    </row>
    <row r="118" spans="2:7">
      <c r="B118" s="185"/>
      <c r="D118" s="185"/>
      <c r="E118" s="185"/>
      <c r="F118" s="185"/>
      <c r="G118" s="185"/>
    </row>
    <row r="119" spans="2:7">
      <c r="B119" s="185"/>
      <c r="D119" s="185"/>
      <c r="E119" s="185"/>
      <c r="F119" s="185"/>
      <c r="G119" s="185"/>
    </row>
    <row r="120" spans="2:7">
      <c r="B120" s="185"/>
      <c r="D120" s="185"/>
      <c r="E120" s="185"/>
      <c r="F120" s="185"/>
      <c r="G120" s="185"/>
    </row>
    <row r="121" spans="2:7">
      <c r="B121" s="185"/>
      <c r="D121" s="185"/>
      <c r="E121" s="185"/>
      <c r="F121" s="185"/>
      <c r="G121" s="185"/>
    </row>
    <row r="122" spans="2:7">
      <c r="B122" s="185"/>
      <c r="D122" s="185"/>
      <c r="E122" s="185"/>
      <c r="F122" s="185"/>
      <c r="G122" s="185"/>
    </row>
    <row r="123" spans="2:7">
      <c r="B123" s="185"/>
      <c r="D123" s="185"/>
      <c r="E123" s="185"/>
      <c r="F123" s="185"/>
      <c r="G123" s="185"/>
    </row>
    <row r="124" spans="2:7">
      <c r="B124" s="185"/>
      <c r="D124" s="185"/>
      <c r="E124" s="185"/>
      <c r="F124" s="185"/>
      <c r="G124" s="185"/>
    </row>
    <row r="125" spans="2:7">
      <c r="B125" s="185"/>
      <c r="D125" s="187"/>
      <c r="E125" s="187"/>
      <c r="F125" s="187"/>
      <c r="G125" s="187"/>
    </row>
    <row r="126" spans="2:7">
      <c r="B126" s="185"/>
      <c r="D126" s="188"/>
      <c r="E126" s="188"/>
      <c r="F126" s="188"/>
      <c r="G126" s="188"/>
    </row>
    <row r="127" spans="2:7">
      <c r="B127" s="185"/>
      <c r="D127" s="189"/>
      <c r="E127" s="189"/>
      <c r="F127" s="189"/>
      <c r="G127" s="189"/>
    </row>
    <row r="128" spans="2:7">
      <c r="B128" s="185"/>
      <c r="D128" s="187"/>
      <c r="E128" s="187"/>
      <c r="F128" s="187"/>
      <c r="G128" s="187"/>
    </row>
    <row r="129" spans="2:7">
      <c r="B129" s="185"/>
      <c r="D129" s="190"/>
      <c r="E129" s="190"/>
      <c r="F129" s="190"/>
      <c r="G129" s="190"/>
    </row>
    <row r="130" spans="2:7">
      <c r="B130" s="185"/>
      <c r="D130" s="190"/>
      <c r="E130" s="190"/>
      <c r="F130" s="190"/>
      <c r="G130" s="190"/>
    </row>
    <row r="131" spans="2:7">
      <c r="B131" s="185"/>
      <c r="D131" s="190"/>
      <c r="E131" s="190"/>
      <c r="F131" s="190"/>
      <c r="G131" s="190"/>
    </row>
    <row r="132" spans="2:7">
      <c r="B132" s="185"/>
      <c r="D132" s="190"/>
      <c r="E132" s="190"/>
      <c r="F132" s="190"/>
      <c r="G132" s="190"/>
    </row>
    <row r="133" spans="2:7">
      <c r="B133" s="185"/>
      <c r="D133" s="187"/>
      <c r="E133" s="187"/>
      <c r="F133" s="187"/>
      <c r="G133" s="187"/>
    </row>
    <row r="134" spans="2:7">
      <c r="B134" s="185"/>
      <c r="D134" s="185"/>
      <c r="E134" s="185"/>
      <c r="F134" s="185"/>
      <c r="G134" s="185"/>
    </row>
    <row r="135" spans="2:7">
      <c r="B135" s="185"/>
      <c r="D135" s="185"/>
      <c r="E135" s="185"/>
      <c r="F135" s="185"/>
      <c r="G135" s="185"/>
    </row>
    <row r="136" spans="2:7">
      <c r="B136" s="185"/>
      <c r="D136" s="185"/>
      <c r="E136" s="185"/>
      <c r="F136" s="185"/>
      <c r="G136" s="185"/>
    </row>
    <row r="137" spans="2:7">
      <c r="B137" s="185"/>
      <c r="D137" s="185"/>
      <c r="E137" s="185"/>
      <c r="F137" s="185"/>
      <c r="G137" s="185"/>
    </row>
    <row r="138" spans="2:7">
      <c r="B138" s="185"/>
      <c r="D138" s="185"/>
      <c r="E138" s="185"/>
      <c r="F138" s="185"/>
      <c r="G138" s="185"/>
    </row>
    <row r="139" spans="2:7">
      <c r="B139" s="185"/>
      <c r="D139" s="185"/>
      <c r="E139" s="185"/>
      <c r="F139" s="185"/>
      <c r="G139" s="185"/>
    </row>
    <row r="140" spans="2:7">
      <c r="B140" s="185"/>
      <c r="D140" s="185"/>
      <c r="E140" s="185"/>
      <c r="F140" s="185"/>
      <c r="G140" s="185"/>
    </row>
    <row r="141" spans="2:7">
      <c r="B141" s="185"/>
      <c r="D141" s="185"/>
      <c r="E141" s="185"/>
      <c r="F141" s="185"/>
      <c r="G141" s="185"/>
    </row>
    <row r="142" spans="2:7">
      <c r="B142" s="185"/>
      <c r="D142" s="185"/>
      <c r="E142" s="185"/>
      <c r="F142" s="185"/>
      <c r="G142" s="185"/>
    </row>
    <row r="143" spans="2:7">
      <c r="B143" s="185"/>
      <c r="D143" s="185"/>
      <c r="E143" s="185"/>
      <c r="F143" s="185"/>
      <c r="G143" s="185"/>
    </row>
    <row r="144" spans="2:7">
      <c r="B144" s="185"/>
      <c r="D144" s="185"/>
      <c r="E144" s="185"/>
      <c r="F144" s="185"/>
      <c r="G144" s="185"/>
    </row>
    <row r="145" spans="2:7">
      <c r="B145" s="185"/>
      <c r="D145" s="185"/>
      <c r="E145" s="185"/>
      <c r="F145" s="185"/>
      <c r="G145" s="185"/>
    </row>
    <row r="146" spans="2:7">
      <c r="B146" s="185"/>
      <c r="D146" s="185"/>
      <c r="E146" s="185"/>
      <c r="F146" s="185"/>
      <c r="G146" s="185"/>
    </row>
    <row r="147" spans="2:7">
      <c r="B147" s="185"/>
      <c r="D147" s="185"/>
      <c r="E147" s="185"/>
      <c r="F147" s="185"/>
      <c r="G147" s="185"/>
    </row>
    <row r="148" spans="2:7">
      <c r="B148" s="185"/>
      <c r="D148" s="185"/>
      <c r="E148" s="185"/>
      <c r="F148" s="185"/>
      <c r="G148" s="185"/>
    </row>
    <row r="149" spans="2:7">
      <c r="B149" s="185"/>
      <c r="D149" s="185"/>
      <c r="E149" s="185"/>
      <c r="F149" s="185"/>
      <c r="G149" s="185"/>
    </row>
    <row r="150" spans="2:7">
      <c r="B150" s="185"/>
      <c r="D150" s="185"/>
      <c r="E150" s="185"/>
      <c r="F150" s="185"/>
      <c r="G150" s="185"/>
    </row>
    <row r="151" spans="2:7">
      <c r="B151" s="185"/>
      <c r="D151" s="185"/>
      <c r="E151" s="185"/>
      <c r="F151" s="185"/>
      <c r="G151" s="185"/>
    </row>
    <row r="152" spans="2:7">
      <c r="B152" s="185"/>
      <c r="D152" s="185"/>
      <c r="E152" s="185"/>
      <c r="F152" s="185"/>
      <c r="G152" s="185"/>
    </row>
    <row r="153" spans="2:7">
      <c r="B153" s="185"/>
      <c r="D153" s="185"/>
      <c r="E153" s="185"/>
      <c r="F153" s="185"/>
      <c r="G153" s="185"/>
    </row>
    <row r="154" spans="2:7">
      <c r="B154" s="185"/>
      <c r="D154" s="185"/>
      <c r="E154" s="185"/>
      <c r="F154" s="185"/>
      <c r="G154" s="185"/>
    </row>
    <row r="155" spans="2:7">
      <c r="B155" s="185"/>
      <c r="D155" s="185"/>
      <c r="E155" s="185"/>
      <c r="F155" s="185"/>
      <c r="G155" s="185"/>
    </row>
    <row r="156" spans="2:7">
      <c r="B156" s="185"/>
      <c r="D156" s="187"/>
      <c r="E156" s="187"/>
      <c r="F156" s="187"/>
      <c r="G156" s="187"/>
    </row>
    <row r="157" spans="2:7">
      <c r="B157" s="185"/>
      <c r="D157" s="190"/>
      <c r="E157" s="190"/>
      <c r="F157" s="190"/>
      <c r="G157" s="190"/>
    </row>
    <row r="158" spans="2:7">
      <c r="B158" s="185"/>
      <c r="D158" s="190"/>
      <c r="E158" s="190"/>
      <c r="F158" s="190"/>
      <c r="G158" s="190"/>
    </row>
    <row r="159" spans="2:7">
      <c r="B159" s="185"/>
      <c r="D159" s="190"/>
      <c r="E159" s="190"/>
      <c r="F159" s="190"/>
      <c r="G159" s="190"/>
    </row>
    <row r="160" spans="2:7">
      <c r="B160" s="185"/>
      <c r="D160" s="187"/>
      <c r="E160" s="187"/>
      <c r="F160" s="187"/>
      <c r="G160" s="187"/>
    </row>
    <row r="161" spans="2:7">
      <c r="B161" s="185"/>
      <c r="D161" s="188"/>
      <c r="E161" s="188"/>
      <c r="F161" s="188"/>
      <c r="G161" s="188"/>
    </row>
    <row r="162" spans="2:7">
      <c r="B162" s="185"/>
      <c r="D162" s="188"/>
      <c r="E162" s="188"/>
      <c r="F162" s="188"/>
      <c r="G162" s="188"/>
    </row>
    <row r="163" spans="2:7">
      <c r="B163" s="185"/>
      <c r="D163" s="187"/>
      <c r="E163" s="187"/>
      <c r="F163" s="187"/>
      <c r="G163" s="187"/>
    </row>
    <row r="164" spans="2:7">
      <c r="B164" s="185"/>
      <c r="D164" s="187"/>
      <c r="E164" s="187"/>
      <c r="F164" s="187"/>
      <c r="G164" s="187"/>
    </row>
    <row r="165" spans="2:7">
      <c r="B165" s="185"/>
      <c r="D165" s="187"/>
      <c r="E165" s="187"/>
      <c r="F165" s="187"/>
      <c r="G165" s="187"/>
    </row>
    <row r="166" spans="2:7">
      <c r="B166" s="185"/>
      <c r="D166" s="187"/>
      <c r="E166" s="187"/>
      <c r="F166" s="187"/>
      <c r="G166" s="187"/>
    </row>
    <row r="167" spans="2:7">
      <c r="B167" s="185"/>
      <c r="D167" s="187"/>
      <c r="E167" s="187"/>
      <c r="F167" s="187"/>
      <c r="G167" s="187"/>
    </row>
    <row r="168" spans="2:7">
      <c r="B168" s="185"/>
      <c r="D168" s="187"/>
      <c r="E168" s="187"/>
      <c r="F168" s="187"/>
      <c r="G168" s="187"/>
    </row>
    <row r="169" spans="2:7">
      <c r="B169" s="185"/>
      <c r="D169" s="188"/>
      <c r="E169" s="188"/>
      <c r="F169" s="188"/>
      <c r="G169" s="188"/>
    </row>
    <row r="170" spans="2:7">
      <c r="B170" s="185"/>
      <c r="D170" s="188"/>
      <c r="E170" s="188"/>
      <c r="F170" s="188"/>
      <c r="G170" s="188"/>
    </row>
    <row r="171" spans="2:7">
      <c r="B171" s="185"/>
      <c r="D171" s="187"/>
      <c r="E171" s="187"/>
      <c r="F171" s="187"/>
      <c r="G171" s="187"/>
    </row>
    <row r="172" spans="2:7">
      <c r="B172" s="185"/>
      <c r="D172" s="190"/>
      <c r="E172" s="190"/>
      <c r="F172" s="190"/>
      <c r="G172" s="190"/>
    </row>
    <row r="173" spans="2:7">
      <c r="B173" s="185"/>
      <c r="D173" s="190"/>
      <c r="E173" s="190"/>
      <c r="F173" s="190"/>
      <c r="G173" s="190"/>
    </row>
    <row r="174" spans="2:7">
      <c r="B174" s="185"/>
      <c r="D174" s="190"/>
      <c r="E174" s="190"/>
      <c r="F174" s="190"/>
      <c r="G174" s="190"/>
    </row>
    <row r="175" spans="2:7">
      <c r="B175" s="185"/>
      <c r="D175" s="191"/>
      <c r="E175" s="191"/>
      <c r="F175" s="191"/>
      <c r="G175" s="191"/>
    </row>
    <row r="176" spans="2:7">
      <c r="B176" s="185"/>
      <c r="D176" s="187"/>
      <c r="E176" s="187"/>
      <c r="F176" s="187"/>
      <c r="G176" s="187"/>
    </row>
    <row r="177" spans="2:7">
      <c r="B177" s="185"/>
      <c r="D177" s="190"/>
      <c r="E177" s="190"/>
      <c r="F177" s="190"/>
      <c r="G177" s="190"/>
    </row>
    <row r="178" spans="2:7">
      <c r="B178" s="185"/>
      <c r="D178" s="190"/>
      <c r="E178" s="190"/>
      <c r="F178" s="190"/>
      <c r="G178" s="190"/>
    </row>
    <row r="179" spans="2:7">
      <c r="B179" s="185"/>
      <c r="D179" s="190"/>
      <c r="E179" s="190"/>
      <c r="F179" s="190"/>
      <c r="G179" s="190"/>
    </row>
    <row r="180" spans="2:7">
      <c r="B180" s="185"/>
      <c r="D180" s="187"/>
      <c r="E180" s="187"/>
      <c r="F180" s="187"/>
      <c r="G180" s="187"/>
    </row>
    <row r="181" spans="2:7">
      <c r="B181" s="185"/>
      <c r="D181" s="190"/>
      <c r="E181" s="190"/>
      <c r="F181" s="190"/>
      <c r="G181" s="190"/>
    </row>
    <row r="182" spans="2:7">
      <c r="B182" s="185"/>
      <c r="D182" s="190"/>
      <c r="E182" s="190"/>
      <c r="F182" s="190"/>
      <c r="G182" s="190"/>
    </row>
    <row r="183" spans="2:7">
      <c r="B183" s="185"/>
      <c r="D183" s="190"/>
      <c r="E183" s="190"/>
      <c r="F183" s="190"/>
      <c r="G183" s="190"/>
    </row>
    <row r="184" spans="2:7">
      <c r="B184" s="185"/>
      <c r="D184" s="190"/>
      <c r="E184" s="190"/>
      <c r="F184" s="190"/>
      <c r="G184" s="190"/>
    </row>
    <row r="185" spans="2:7">
      <c r="B185" s="185"/>
      <c r="D185" s="190"/>
      <c r="E185" s="190"/>
      <c r="F185" s="190"/>
      <c r="G185" s="190"/>
    </row>
    <row r="186" spans="2:7">
      <c r="B186" s="185"/>
      <c r="D186" s="190"/>
      <c r="E186" s="190"/>
      <c r="F186" s="190"/>
      <c r="G186" s="190"/>
    </row>
    <row r="187" spans="2:7">
      <c r="B187" s="185"/>
      <c r="D187" s="190"/>
      <c r="E187" s="190"/>
      <c r="F187" s="190"/>
      <c r="G187" s="190"/>
    </row>
    <row r="188" spans="2:7">
      <c r="B188" s="185"/>
      <c r="D188" s="190"/>
      <c r="E188" s="190"/>
      <c r="F188" s="190"/>
      <c r="G188" s="190"/>
    </row>
    <row r="189" spans="2:7">
      <c r="B189" s="185"/>
      <c r="D189" s="187"/>
      <c r="E189" s="187"/>
      <c r="F189" s="187"/>
      <c r="G189" s="187"/>
    </row>
    <row r="190" spans="2:7">
      <c r="B190" s="185"/>
      <c r="D190" s="187"/>
      <c r="E190" s="187"/>
      <c r="F190" s="187"/>
      <c r="G190" s="187"/>
    </row>
    <row r="191" spans="2:7">
      <c r="B191" s="185"/>
      <c r="D191" s="188"/>
      <c r="E191" s="188"/>
      <c r="F191" s="188"/>
      <c r="G191" s="188"/>
    </row>
    <row r="192" spans="2:7">
      <c r="B192" s="185"/>
      <c r="D192" s="188"/>
      <c r="E192" s="188"/>
      <c r="F192" s="188"/>
      <c r="G192" s="188"/>
    </row>
    <row r="193" spans="2:7">
      <c r="B193" s="185"/>
      <c r="D193" s="187"/>
      <c r="E193" s="187"/>
      <c r="F193" s="187"/>
      <c r="G193" s="187"/>
    </row>
    <row r="194" spans="2:7">
      <c r="B194" s="185"/>
      <c r="D194" s="190"/>
      <c r="E194" s="190"/>
      <c r="F194" s="190"/>
      <c r="G194" s="190"/>
    </row>
    <row r="195" spans="2:7">
      <c r="B195" s="185"/>
      <c r="D195" s="190"/>
      <c r="E195" s="190"/>
      <c r="F195" s="190"/>
      <c r="G195" s="190"/>
    </row>
    <row r="196" spans="2:7">
      <c r="B196" s="185"/>
      <c r="D196" s="190"/>
      <c r="E196" s="190"/>
      <c r="F196" s="190"/>
      <c r="G196" s="190"/>
    </row>
    <row r="197" spans="2:7">
      <c r="B197" s="185"/>
      <c r="D197" s="190"/>
      <c r="E197" s="190"/>
      <c r="F197" s="190"/>
      <c r="G197" s="190"/>
    </row>
    <row r="198" spans="2:7">
      <c r="B198" s="185"/>
      <c r="D198" s="187"/>
      <c r="E198" s="187"/>
      <c r="F198" s="187"/>
      <c r="G198" s="187"/>
    </row>
    <row r="199" spans="2:7">
      <c r="B199" s="185"/>
      <c r="D199" s="188"/>
      <c r="E199" s="188"/>
      <c r="F199" s="188"/>
      <c r="G199" s="188"/>
    </row>
    <row r="200" spans="2:7">
      <c r="B200" s="185"/>
      <c r="D200" s="188"/>
      <c r="E200" s="188"/>
      <c r="F200" s="188"/>
      <c r="G200" s="188"/>
    </row>
    <row r="201" spans="2:7">
      <c r="B201" s="185"/>
      <c r="D201" s="187"/>
      <c r="E201" s="187"/>
      <c r="F201" s="187"/>
      <c r="G201" s="187"/>
    </row>
    <row r="202" spans="2:7">
      <c r="B202" s="185"/>
      <c r="D202" s="190"/>
      <c r="E202" s="190"/>
      <c r="F202" s="190"/>
      <c r="G202" s="190"/>
    </row>
    <row r="203" spans="2:7">
      <c r="B203" s="185"/>
      <c r="D203" s="190"/>
      <c r="E203" s="190"/>
      <c r="F203" s="190"/>
      <c r="G203" s="190"/>
    </row>
    <row r="204" spans="2:7">
      <c r="B204" s="185"/>
      <c r="D204" s="190"/>
      <c r="E204" s="190"/>
      <c r="F204" s="190"/>
      <c r="G204" s="190"/>
    </row>
    <row r="205" spans="2:7">
      <c r="B205" s="185"/>
      <c r="D205" s="187"/>
      <c r="E205" s="187"/>
      <c r="F205" s="187"/>
      <c r="G205" s="187"/>
    </row>
    <row r="206" spans="2:7">
      <c r="B206" s="185"/>
      <c r="D206" s="187"/>
      <c r="E206" s="187"/>
      <c r="F206" s="187"/>
      <c r="G206" s="187"/>
    </row>
    <row r="207" spans="2:7">
      <c r="B207" s="185"/>
      <c r="D207" s="187"/>
      <c r="E207" s="187"/>
      <c r="F207" s="187"/>
      <c r="G207" s="187"/>
    </row>
    <row r="208" spans="2:7">
      <c r="B208" s="185"/>
      <c r="D208" s="188"/>
      <c r="E208" s="188"/>
      <c r="F208" s="188"/>
      <c r="G208" s="188"/>
    </row>
    <row r="209" spans="2:7">
      <c r="B209" s="185"/>
      <c r="D209" s="188"/>
      <c r="E209" s="188"/>
      <c r="F209" s="188"/>
      <c r="G209" s="188"/>
    </row>
    <row r="210" spans="2:7">
      <c r="B210" s="185"/>
      <c r="D210" s="185"/>
      <c r="E210" s="185"/>
      <c r="F210" s="185"/>
      <c r="G210" s="185"/>
    </row>
    <row r="211" spans="2:7">
      <c r="B211" s="185"/>
      <c r="D211" s="185"/>
      <c r="E211" s="185"/>
      <c r="F211" s="185"/>
      <c r="G211" s="185"/>
    </row>
    <row r="212" spans="2:7">
      <c r="B212" s="185"/>
      <c r="D212" s="185"/>
      <c r="E212" s="185"/>
      <c r="F212" s="185"/>
      <c r="G212" s="185"/>
    </row>
    <row r="213" spans="2:7">
      <c r="B213" s="185"/>
      <c r="D213" s="185"/>
      <c r="E213" s="185"/>
      <c r="F213" s="185"/>
      <c r="G213" s="185"/>
    </row>
    <row r="214" spans="2:7">
      <c r="B214" s="185"/>
      <c r="D214" s="185"/>
      <c r="E214" s="185"/>
      <c r="F214" s="185"/>
      <c r="G214" s="185"/>
    </row>
    <row r="215" spans="2:7">
      <c r="B215" s="185"/>
      <c r="D215" s="185"/>
      <c r="E215" s="185"/>
      <c r="F215" s="185"/>
      <c r="G215" s="185"/>
    </row>
    <row r="216" spans="2:7">
      <c r="B216" s="185"/>
      <c r="D216" s="185"/>
      <c r="E216" s="185"/>
      <c r="F216" s="185"/>
      <c r="G216" s="185"/>
    </row>
    <row r="217" spans="2:7">
      <c r="B217" s="185"/>
      <c r="D217" s="185"/>
      <c r="E217" s="185"/>
      <c r="F217" s="185"/>
      <c r="G217" s="185"/>
    </row>
    <row r="218" spans="2:7">
      <c r="B218" s="185"/>
      <c r="D218" s="185"/>
      <c r="E218" s="185"/>
      <c r="F218" s="185"/>
      <c r="G218" s="185"/>
    </row>
    <row r="219" spans="2:7">
      <c r="B219" s="185"/>
      <c r="D219" s="185"/>
      <c r="E219" s="185"/>
      <c r="F219" s="185"/>
      <c r="G219" s="185"/>
    </row>
    <row r="220" spans="2:7">
      <c r="B220" s="185"/>
      <c r="D220" s="185"/>
      <c r="E220" s="185"/>
      <c r="F220" s="185"/>
      <c r="G220" s="185"/>
    </row>
    <row r="221" spans="2:7">
      <c r="B221" s="185"/>
      <c r="D221" s="185"/>
      <c r="E221" s="185"/>
      <c r="F221" s="185"/>
      <c r="G221" s="185"/>
    </row>
    <row r="222" spans="2:7">
      <c r="B222" s="185"/>
      <c r="D222" s="185"/>
      <c r="E222" s="185"/>
      <c r="F222" s="185"/>
      <c r="G222" s="185"/>
    </row>
    <row r="223" spans="2:7">
      <c r="B223" s="185"/>
      <c r="D223" s="185"/>
      <c r="E223" s="185"/>
      <c r="F223" s="185"/>
      <c r="G223" s="185"/>
    </row>
    <row r="224" spans="2:7">
      <c r="B224" s="185"/>
      <c r="D224" s="185"/>
      <c r="E224" s="185"/>
      <c r="F224" s="185"/>
      <c r="G224" s="185"/>
    </row>
    <row r="225" spans="2:7">
      <c r="B225" s="185"/>
      <c r="D225" s="185"/>
      <c r="E225" s="185"/>
      <c r="F225" s="185"/>
      <c r="G225" s="185"/>
    </row>
    <row r="226" spans="2:7">
      <c r="B226" s="185"/>
      <c r="D226" s="185"/>
      <c r="E226" s="185"/>
      <c r="F226" s="185"/>
      <c r="G226" s="185"/>
    </row>
    <row r="227" spans="2:7">
      <c r="B227" s="185"/>
      <c r="D227" s="185"/>
      <c r="E227" s="185"/>
      <c r="F227" s="185"/>
      <c r="G227" s="185"/>
    </row>
    <row r="228" spans="2:7">
      <c r="B228" s="185"/>
      <c r="D228" s="185"/>
      <c r="E228" s="185"/>
      <c r="F228" s="185"/>
      <c r="G228" s="185"/>
    </row>
    <row r="229" spans="2:7">
      <c r="B229" s="185"/>
      <c r="D229" s="185"/>
      <c r="E229" s="185"/>
      <c r="F229" s="185"/>
      <c r="G229" s="185"/>
    </row>
    <row r="230" spans="2:7">
      <c r="B230" s="185"/>
      <c r="D230" s="185"/>
      <c r="E230" s="185"/>
      <c r="F230" s="185"/>
      <c r="G230" s="185"/>
    </row>
    <row r="231" spans="2:7">
      <c r="B231" s="185"/>
      <c r="D231" s="185"/>
      <c r="E231" s="185"/>
      <c r="F231" s="185"/>
      <c r="G231" s="185"/>
    </row>
    <row r="232" spans="2:7">
      <c r="B232" s="185"/>
      <c r="D232" s="185"/>
      <c r="E232" s="185"/>
      <c r="F232" s="185"/>
      <c r="G232" s="185"/>
    </row>
    <row r="233" spans="2:7">
      <c r="B233" s="185"/>
      <c r="D233" s="185"/>
      <c r="E233" s="185"/>
      <c r="F233" s="185"/>
      <c r="G233" s="185"/>
    </row>
    <row r="234" spans="2:7">
      <c r="B234" s="185"/>
      <c r="D234" s="185"/>
      <c r="E234" s="185"/>
      <c r="F234" s="185"/>
      <c r="G234" s="185"/>
    </row>
    <row r="235" spans="2:7">
      <c r="B235" s="185"/>
      <c r="D235" s="185"/>
      <c r="E235" s="185"/>
      <c r="F235" s="185"/>
      <c r="G235" s="185"/>
    </row>
    <row r="236" spans="2:7">
      <c r="B236" s="185"/>
      <c r="D236" s="185"/>
      <c r="E236" s="185"/>
      <c r="F236" s="185"/>
      <c r="G236" s="185"/>
    </row>
    <row r="237" spans="2:7">
      <c r="B237" s="185"/>
      <c r="D237" s="185"/>
      <c r="E237" s="185"/>
      <c r="F237" s="185"/>
      <c r="G237" s="185"/>
    </row>
    <row r="238" spans="2:7">
      <c r="B238" s="185"/>
      <c r="D238" s="185"/>
      <c r="E238" s="185"/>
      <c r="F238" s="185"/>
      <c r="G238" s="185"/>
    </row>
    <row r="239" spans="2:7">
      <c r="B239" s="185"/>
      <c r="D239" s="185"/>
      <c r="E239" s="185"/>
      <c r="F239" s="185"/>
      <c r="G239" s="185"/>
    </row>
    <row r="240" spans="2:7">
      <c r="B240" s="185"/>
      <c r="D240" s="185"/>
      <c r="E240" s="185"/>
      <c r="F240" s="185"/>
      <c r="G240" s="185"/>
    </row>
    <row r="241" spans="2:7">
      <c r="B241" s="185"/>
      <c r="D241" s="185"/>
      <c r="E241" s="185"/>
      <c r="F241" s="185"/>
      <c r="G241" s="185"/>
    </row>
    <row r="242" spans="2:7">
      <c r="B242" s="185"/>
      <c r="D242" s="185"/>
      <c r="E242" s="185"/>
      <c r="F242" s="185"/>
      <c r="G242" s="185"/>
    </row>
    <row r="243" spans="2:7">
      <c r="B243" s="185"/>
      <c r="D243" s="185"/>
      <c r="E243" s="185"/>
      <c r="F243" s="185"/>
      <c r="G243" s="185"/>
    </row>
    <row r="244" spans="2:7">
      <c r="B244" s="185"/>
      <c r="D244" s="185"/>
      <c r="E244" s="185"/>
      <c r="F244" s="185"/>
      <c r="G244" s="185"/>
    </row>
    <row r="245" spans="2:7">
      <c r="B245" s="185"/>
      <c r="D245" s="185"/>
      <c r="E245" s="185"/>
      <c r="F245" s="185"/>
      <c r="G245" s="185"/>
    </row>
    <row r="246" spans="2:7">
      <c r="B246" s="185"/>
      <c r="D246" s="185"/>
      <c r="E246" s="185"/>
      <c r="F246" s="185"/>
      <c r="G246" s="185"/>
    </row>
    <row r="247" spans="2:7">
      <c r="B247" s="185"/>
      <c r="D247" s="185"/>
      <c r="E247" s="185"/>
      <c r="F247" s="185"/>
      <c r="G247" s="185"/>
    </row>
    <row r="248" spans="2:7">
      <c r="B248" s="185"/>
      <c r="D248" s="185"/>
      <c r="E248" s="185"/>
      <c r="F248" s="185"/>
      <c r="G248" s="185"/>
    </row>
    <row r="249" spans="2:7">
      <c r="B249" s="185"/>
      <c r="D249" s="185"/>
      <c r="E249" s="185"/>
      <c r="F249" s="185"/>
      <c r="G249" s="185"/>
    </row>
    <row r="250" spans="2:7">
      <c r="B250" s="185"/>
      <c r="D250" s="185"/>
      <c r="E250" s="185"/>
      <c r="F250" s="185"/>
      <c r="G250" s="185"/>
    </row>
    <row r="251" spans="2:7">
      <c r="B251" s="185"/>
      <c r="D251" s="185"/>
      <c r="E251" s="185"/>
      <c r="F251" s="185"/>
      <c r="G251" s="185"/>
    </row>
    <row r="252" spans="2:7">
      <c r="B252" s="185"/>
      <c r="D252" s="185"/>
      <c r="E252" s="185"/>
      <c r="F252" s="185"/>
      <c r="G252" s="185"/>
    </row>
    <row r="253" spans="2:7">
      <c r="B253" s="185"/>
      <c r="D253" s="185"/>
      <c r="E253" s="185"/>
      <c r="F253" s="185"/>
      <c r="G253" s="185"/>
    </row>
    <row r="254" spans="2:7">
      <c r="B254" s="185"/>
      <c r="D254" s="185"/>
      <c r="E254" s="185"/>
      <c r="F254" s="185"/>
      <c r="G254" s="185"/>
    </row>
    <row r="255" spans="2:7">
      <c r="B255" s="185"/>
      <c r="D255" s="185"/>
      <c r="E255" s="185"/>
      <c r="F255" s="185"/>
      <c r="G255" s="185"/>
    </row>
    <row r="256" spans="2:7">
      <c r="B256" s="185"/>
      <c r="D256" s="185"/>
      <c r="E256" s="185"/>
      <c r="F256" s="185"/>
      <c r="G256" s="185"/>
    </row>
    <row r="257" spans="2:7">
      <c r="B257" s="185"/>
      <c r="D257" s="185"/>
      <c r="E257" s="185"/>
      <c r="F257" s="185"/>
      <c r="G257" s="185"/>
    </row>
    <row r="258" spans="2:7">
      <c r="B258" s="185"/>
      <c r="D258" s="185"/>
      <c r="E258" s="185"/>
      <c r="F258" s="185"/>
      <c r="G258" s="185"/>
    </row>
    <row r="259" spans="2:7">
      <c r="B259" s="185"/>
      <c r="D259" s="185"/>
      <c r="E259" s="185"/>
      <c r="F259" s="185"/>
      <c r="G259" s="185"/>
    </row>
    <row r="260" spans="2:7">
      <c r="B260" s="185"/>
      <c r="D260" s="185"/>
      <c r="E260" s="185"/>
      <c r="F260" s="185"/>
      <c r="G260" s="185"/>
    </row>
    <row r="261" spans="2:7">
      <c r="B261" s="185"/>
      <c r="D261" s="185"/>
      <c r="E261" s="185"/>
      <c r="F261" s="185"/>
      <c r="G261" s="185"/>
    </row>
    <row r="262" spans="2:7">
      <c r="B262" s="185"/>
      <c r="D262" s="185"/>
      <c r="E262" s="185"/>
      <c r="F262" s="185"/>
      <c r="G262" s="185"/>
    </row>
    <row r="263" spans="2:7">
      <c r="B263" s="185"/>
      <c r="D263" s="185"/>
      <c r="E263" s="185"/>
      <c r="F263" s="185"/>
      <c r="G263" s="185"/>
    </row>
    <row r="264" spans="2:7">
      <c r="B264" s="185"/>
      <c r="D264" s="185"/>
      <c r="E264" s="185"/>
      <c r="F264" s="185"/>
      <c r="G264" s="185"/>
    </row>
    <row r="265" spans="2:7">
      <c r="B265" s="185"/>
      <c r="D265" s="185"/>
      <c r="E265" s="185"/>
      <c r="F265" s="185"/>
      <c r="G265" s="185"/>
    </row>
    <row r="266" spans="2:7">
      <c r="B266" s="185"/>
      <c r="D266" s="185"/>
      <c r="E266" s="185"/>
      <c r="F266" s="185"/>
      <c r="G266" s="185"/>
    </row>
    <row r="267" spans="2:7">
      <c r="B267" s="185"/>
      <c r="D267" s="185"/>
      <c r="E267" s="185"/>
      <c r="F267" s="185"/>
      <c r="G267" s="185"/>
    </row>
    <row r="268" spans="2:7">
      <c r="B268" s="185"/>
      <c r="D268" s="185"/>
      <c r="E268" s="185"/>
      <c r="F268" s="185"/>
      <c r="G268" s="185"/>
    </row>
    <row r="269" spans="2:7">
      <c r="B269" s="185"/>
      <c r="D269" s="192"/>
      <c r="E269" s="192"/>
      <c r="F269" s="192"/>
      <c r="G269" s="192"/>
    </row>
    <row r="270" spans="2:7">
      <c r="B270" s="185"/>
      <c r="D270" s="192"/>
      <c r="E270" s="192"/>
      <c r="F270" s="192"/>
      <c r="G270" s="192"/>
    </row>
    <row r="271" spans="2:7">
      <c r="B271" s="185"/>
      <c r="D271" s="192"/>
      <c r="E271" s="192"/>
      <c r="F271" s="192"/>
      <c r="G271" s="192"/>
    </row>
    <row r="272" spans="2:7">
      <c r="B272" s="185"/>
      <c r="D272" s="192"/>
      <c r="E272" s="192"/>
      <c r="F272" s="192"/>
      <c r="G272" s="192"/>
    </row>
    <row r="273" spans="2:7">
      <c r="B273" s="185"/>
      <c r="D273" s="192"/>
      <c r="E273" s="192"/>
      <c r="F273" s="192"/>
      <c r="G273" s="192"/>
    </row>
    <row r="274" spans="2:7">
      <c r="B274" s="185"/>
      <c r="D274" s="192"/>
      <c r="E274" s="192"/>
      <c r="F274" s="192"/>
      <c r="G274" s="192"/>
    </row>
    <row r="275" spans="2:7">
      <c r="B275" s="185"/>
      <c r="D275" s="192"/>
      <c r="E275" s="192"/>
      <c r="F275" s="192"/>
      <c r="G275" s="192"/>
    </row>
    <row r="276" spans="2:7">
      <c r="B276" s="185"/>
      <c r="D276" s="192"/>
      <c r="E276" s="192"/>
      <c r="F276" s="192"/>
      <c r="G276" s="192"/>
    </row>
    <row r="277" spans="2:7">
      <c r="B277" s="185"/>
      <c r="D277" s="192"/>
      <c r="E277" s="192"/>
      <c r="F277" s="192"/>
      <c r="G277" s="192"/>
    </row>
    <row r="278" spans="2:7">
      <c r="B278" s="185"/>
      <c r="D278" s="192"/>
      <c r="E278" s="192"/>
      <c r="F278" s="192"/>
      <c r="G278" s="192"/>
    </row>
    <row r="279" spans="2:7">
      <c r="B279" s="185"/>
      <c r="D279" s="192"/>
      <c r="E279" s="192"/>
      <c r="F279" s="192"/>
      <c r="G279" s="192"/>
    </row>
    <row r="280" spans="2:7">
      <c r="B280" s="185"/>
      <c r="D280" s="192"/>
      <c r="E280" s="192"/>
      <c r="F280" s="192"/>
      <c r="G280" s="192"/>
    </row>
    <row r="281" spans="2:7">
      <c r="B281" s="185"/>
      <c r="D281" s="192"/>
      <c r="E281" s="192"/>
      <c r="F281" s="192"/>
      <c r="G281" s="192"/>
    </row>
    <row r="282" spans="2:7">
      <c r="B282" s="185"/>
      <c r="D282" s="192"/>
      <c r="E282" s="192"/>
      <c r="F282" s="192"/>
      <c r="G282" s="192"/>
    </row>
    <row r="283" spans="2:7">
      <c r="B283" s="185"/>
      <c r="D283" s="192"/>
      <c r="E283" s="192"/>
      <c r="F283" s="192"/>
      <c r="G283" s="192"/>
    </row>
    <row r="284" spans="2:7">
      <c r="B284" s="185"/>
      <c r="D284" s="192"/>
      <c r="E284" s="192"/>
      <c r="F284" s="192"/>
      <c r="G284" s="192"/>
    </row>
    <row r="285" spans="2:7">
      <c r="B285" s="186"/>
      <c r="D285" s="192"/>
      <c r="E285" s="192"/>
      <c r="F285" s="192"/>
      <c r="G285" s="192"/>
    </row>
    <row r="286" spans="2:7">
      <c r="B286" s="92"/>
      <c r="D286" s="193"/>
      <c r="E286" s="193"/>
      <c r="F286" s="193"/>
      <c r="G286" s="193"/>
    </row>
    <row r="287" spans="2:7">
      <c r="B287" s="92"/>
    </row>
    <row r="288" spans="2:7">
      <c r="B288" s="92"/>
    </row>
    <row r="289" spans="2:2">
      <c r="B289" s="92"/>
    </row>
    <row r="290" spans="2:2">
      <c r="B290" s="92"/>
    </row>
    <row r="291" spans="2:2">
      <c r="B291" s="92"/>
    </row>
    <row r="292" spans="2:2">
      <c r="B292" s="92"/>
    </row>
    <row r="293" spans="2:2">
      <c r="B293" s="92"/>
    </row>
    <row r="294" spans="2:2">
      <c r="B294" s="92"/>
    </row>
    <row r="295" spans="2:2">
      <c r="B295" s="92"/>
    </row>
    <row r="296" spans="2:2">
      <c r="B296" s="92"/>
    </row>
    <row r="297" spans="2:2">
      <c r="B297" s="92"/>
    </row>
    <row r="298" spans="2:2">
      <c r="B298" s="92"/>
    </row>
    <row r="299" spans="2:2">
      <c r="B299" s="92"/>
    </row>
    <row r="300" spans="2:2">
      <c r="B300" s="92"/>
    </row>
    <row r="301" spans="2:2">
      <c r="B301" s="92"/>
    </row>
    <row r="302" spans="2:2">
      <c r="B302" s="92"/>
    </row>
    <row r="303" spans="2:2">
      <c r="B303" s="92"/>
    </row>
    <row r="304" spans="2:2">
      <c r="B304" s="92"/>
    </row>
    <row r="305" spans="2:2">
      <c r="B305" s="92"/>
    </row>
    <row r="306" spans="2:2">
      <c r="B306" s="92"/>
    </row>
    <row r="307" spans="2:2">
      <c r="B307" s="92"/>
    </row>
    <row r="308" spans="2:2">
      <c r="B308" s="92"/>
    </row>
    <row r="309" spans="2:2">
      <c r="B309" s="92"/>
    </row>
    <row r="310" spans="2:2">
      <c r="B310" s="92"/>
    </row>
    <row r="311" spans="2:2">
      <c r="B311" s="92"/>
    </row>
    <row r="312" spans="2:2">
      <c r="B312" s="92"/>
    </row>
    <row r="313" spans="2:2">
      <c r="B313" s="92"/>
    </row>
    <row r="314" spans="2:2">
      <c r="B314" s="92"/>
    </row>
    <row r="315" spans="2:2">
      <c r="B315" s="92"/>
    </row>
    <row r="316" spans="2:2">
      <c r="B316" s="92"/>
    </row>
    <row r="317" spans="2:2">
      <c r="B317" s="92"/>
    </row>
    <row r="318" spans="2:2">
      <c r="B318" s="92"/>
    </row>
    <row r="319" spans="2:2">
      <c r="B319" s="92"/>
    </row>
    <row r="320" spans="2:2">
      <c r="B320" s="92"/>
    </row>
    <row r="321" spans="2:2">
      <c r="B321" s="92"/>
    </row>
    <row r="322" spans="2:2">
      <c r="B322" s="92"/>
    </row>
    <row r="323" spans="2:2">
      <c r="B323" s="92"/>
    </row>
    <row r="324" spans="2:2">
      <c r="B324" s="92"/>
    </row>
    <row r="325" spans="2:2">
      <c r="B325" s="92"/>
    </row>
    <row r="326" spans="2:2">
      <c r="B326" s="92"/>
    </row>
    <row r="327" spans="2:2">
      <c r="B327" s="92"/>
    </row>
    <row r="328" spans="2:2">
      <c r="B328" s="92"/>
    </row>
    <row r="329" spans="2:2">
      <c r="B329" s="92"/>
    </row>
    <row r="330" spans="2:2">
      <c r="B330" s="92"/>
    </row>
    <row r="331" spans="2:2">
      <c r="B331" s="92"/>
    </row>
    <row r="332" spans="2:2">
      <c r="B332" s="92"/>
    </row>
    <row r="333" spans="2:2">
      <c r="B333" s="92"/>
    </row>
    <row r="334" spans="2:2">
      <c r="B334" s="92"/>
    </row>
    <row r="335" spans="2:2">
      <c r="B335" s="92"/>
    </row>
    <row r="336" spans="2:2">
      <c r="B336" s="92"/>
    </row>
    <row r="337" spans="2:2">
      <c r="B337" s="92"/>
    </row>
    <row r="338" spans="2:2">
      <c r="B338" s="92"/>
    </row>
    <row r="339" spans="2:2">
      <c r="B339" s="92"/>
    </row>
    <row r="340" spans="2:2">
      <c r="B340" s="92"/>
    </row>
    <row r="341" spans="2:2">
      <c r="B341" s="92"/>
    </row>
    <row r="342" spans="2:2">
      <c r="B342" s="92"/>
    </row>
    <row r="343" spans="2:2">
      <c r="B343" s="92"/>
    </row>
    <row r="344" spans="2:2">
      <c r="B344" s="92"/>
    </row>
    <row r="345" spans="2:2">
      <c r="B345" s="92"/>
    </row>
    <row r="346" spans="2:2">
      <c r="B346" s="92"/>
    </row>
    <row r="347" spans="2:2">
      <c r="B347" s="92"/>
    </row>
    <row r="348" spans="2:2">
      <c r="B348" s="92"/>
    </row>
    <row r="349" spans="2:2">
      <c r="B349" s="92"/>
    </row>
    <row r="350" spans="2:2">
      <c r="B350" s="92"/>
    </row>
    <row r="351" spans="2:2">
      <c r="B351" s="92"/>
    </row>
    <row r="352" spans="2:2">
      <c r="B352" s="92"/>
    </row>
    <row r="353" spans="2:2">
      <c r="B353" s="92"/>
    </row>
    <row r="354" spans="2:2">
      <c r="B354" s="92"/>
    </row>
    <row r="355" spans="2:2">
      <c r="B355" s="92"/>
    </row>
    <row r="356" spans="2:2">
      <c r="B356" s="92"/>
    </row>
    <row r="357" spans="2:2">
      <c r="B357" s="92"/>
    </row>
    <row r="358" spans="2:2">
      <c r="B358" s="92"/>
    </row>
    <row r="359" spans="2:2">
      <c r="B359" s="92"/>
    </row>
    <row r="360" spans="2:2">
      <c r="B360" s="92"/>
    </row>
    <row r="361" spans="2:2">
      <c r="B361" s="92"/>
    </row>
    <row r="362" spans="2:2">
      <c r="B362" s="92"/>
    </row>
    <row r="363" spans="2:2">
      <c r="B363" s="92"/>
    </row>
    <row r="364" spans="2:2">
      <c r="B364" s="92"/>
    </row>
    <row r="365" spans="2:2">
      <c r="B365" s="92"/>
    </row>
    <row r="366" spans="2:2">
      <c r="B366" s="92"/>
    </row>
    <row r="367" spans="2:2">
      <c r="B367" s="92"/>
    </row>
    <row r="368" spans="2:2">
      <c r="B368" s="92"/>
    </row>
    <row r="369" spans="2:2">
      <c r="B369" s="92"/>
    </row>
    <row r="370" spans="2:2">
      <c r="B370" s="92"/>
    </row>
    <row r="371" spans="2:2">
      <c r="B371" s="92"/>
    </row>
    <row r="372" spans="2:2">
      <c r="B372" s="92"/>
    </row>
    <row r="373" spans="2:2">
      <c r="B373" s="92"/>
    </row>
    <row r="374" spans="2:2">
      <c r="B374" s="92"/>
    </row>
    <row r="375" spans="2:2">
      <c r="B375" s="92"/>
    </row>
    <row r="376" spans="2:2">
      <c r="B376" s="92"/>
    </row>
    <row r="377" spans="2:2">
      <c r="B377" s="92"/>
    </row>
    <row r="378" spans="2:2">
      <c r="B378" s="92"/>
    </row>
    <row r="379" spans="2:2">
      <c r="B379" s="92"/>
    </row>
    <row r="380" spans="2:2">
      <c r="B380" s="92"/>
    </row>
    <row r="381" spans="2:2">
      <c r="B381" s="92"/>
    </row>
    <row r="382" spans="2:2">
      <c r="B382" s="92"/>
    </row>
    <row r="383" spans="2:2">
      <c r="B383" s="92"/>
    </row>
    <row r="384" spans="2:2">
      <c r="B384" s="92"/>
    </row>
    <row r="385" spans="2:2">
      <c r="B385" s="92"/>
    </row>
    <row r="386" spans="2:2">
      <c r="B386" s="92"/>
    </row>
    <row r="387" spans="2:2">
      <c r="B387" s="92"/>
    </row>
    <row r="388" spans="2:2">
      <c r="B388" s="92"/>
    </row>
    <row r="389" spans="2:2">
      <c r="B389" s="92"/>
    </row>
    <row r="390" spans="2:2">
      <c r="B390" s="92"/>
    </row>
    <row r="391" spans="2:2">
      <c r="B391" s="92"/>
    </row>
    <row r="392" spans="2:2">
      <c r="B392" s="92"/>
    </row>
    <row r="393" spans="2:2">
      <c r="B393" s="92"/>
    </row>
    <row r="394" spans="2:2">
      <c r="B394" s="92"/>
    </row>
    <row r="395" spans="2:2">
      <c r="B395" s="92"/>
    </row>
    <row r="396" spans="2:2">
      <c r="B396" s="92"/>
    </row>
    <row r="397" spans="2:2">
      <c r="B397" s="92"/>
    </row>
    <row r="398" spans="2:2">
      <c r="B398" s="92"/>
    </row>
    <row r="399" spans="2:2">
      <c r="B399" s="92"/>
    </row>
    <row r="400" spans="2:2">
      <c r="B400" s="92"/>
    </row>
    <row r="401" spans="2:2">
      <c r="B401" s="92"/>
    </row>
    <row r="402" spans="2:2">
      <c r="B402" s="92"/>
    </row>
    <row r="403" spans="2:2">
      <c r="B403" s="92"/>
    </row>
    <row r="404" spans="2:2">
      <c r="B404" s="92"/>
    </row>
    <row r="405" spans="2:2">
      <c r="B405" s="92"/>
    </row>
    <row r="406" spans="2:2">
      <c r="B406" s="92"/>
    </row>
    <row r="407" spans="2:2">
      <c r="B407" s="92"/>
    </row>
    <row r="408" spans="2:2">
      <c r="B408" s="92"/>
    </row>
    <row r="409" spans="2:2">
      <c r="B409" s="92"/>
    </row>
    <row r="410" spans="2:2">
      <c r="B410" s="92"/>
    </row>
    <row r="411" spans="2:2">
      <c r="B411" s="92"/>
    </row>
    <row r="412" spans="2:2">
      <c r="B412" s="92"/>
    </row>
    <row r="413" spans="2:2">
      <c r="B413" s="92"/>
    </row>
    <row r="414" spans="2:2">
      <c r="B414" s="92"/>
    </row>
    <row r="415" spans="2:2">
      <c r="B415" s="92"/>
    </row>
    <row r="416" spans="2:2">
      <c r="B416" s="92"/>
    </row>
    <row r="417" spans="2:2">
      <c r="B417" s="92"/>
    </row>
    <row r="418" spans="2:2">
      <c r="B418" s="92"/>
    </row>
    <row r="419" spans="2:2">
      <c r="B419" s="92"/>
    </row>
    <row r="420" spans="2:2">
      <c r="B420" s="92"/>
    </row>
    <row r="421" spans="2:2">
      <c r="B421" s="92"/>
    </row>
    <row r="422" spans="2:2">
      <c r="B422" s="92"/>
    </row>
    <row r="423" spans="2:2">
      <c r="B423" s="92"/>
    </row>
    <row r="424" spans="2:2">
      <c r="B424" s="92"/>
    </row>
    <row r="425" spans="2:2">
      <c r="B425" s="92"/>
    </row>
    <row r="426" spans="2:2">
      <c r="B426" s="92"/>
    </row>
    <row r="427" spans="2:2">
      <c r="B427" s="92"/>
    </row>
    <row r="428" spans="2:2">
      <c r="B428" s="92"/>
    </row>
    <row r="429" spans="2:2">
      <c r="B429" s="92"/>
    </row>
    <row r="430" spans="2:2">
      <c r="B430" s="92"/>
    </row>
    <row r="431" spans="2:2">
      <c r="B431" s="92"/>
    </row>
    <row r="432" spans="2:2">
      <c r="B432" s="92"/>
    </row>
    <row r="433" spans="2:2">
      <c r="B433" s="92"/>
    </row>
    <row r="434" spans="2:2">
      <c r="B434" s="92"/>
    </row>
    <row r="435" spans="2:2">
      <c r="B435" s="92"/>
    </row>
    <row r="436" spans="2:2">
      <c r="B436" s="92"/>
    </row>
    <row r="437" spans="2:2">
      <c r="B437" s="92"/>
    </row>
    <row r="438" spans="2:2">
      <c r="B438" s="92"/>
    </row>
    <row r="439" spans="2:2">
      <c r="B439" s="92"/>
    </row>
    <row r="440" spans="2:2">
      <c r="B440" s="92"/>
    </row>
    <row r="441" spans="2:2">
      <c r="B441" s="92"/>
    </row>
    <row r="442" spans="2:2">
      <c r="B442" s="92"/>
    </row>
    <row r="443" spans="2:2">
      <c r="B443" s="92"/>
    </row>
    <row r="444" spans="2:2">
      <c r="B444" s="92"/>
    </row>
    <row r="445" spans="2:2">
      <c r="B445" s="92"/>
    </row>
    <row r="446" spans="2:2">
      <c r="B446" s="92"/>
    </row>
    <row r="447" spans="2:2">
      <c r="B447" s="92"/>
    </row>
    <row r="448" spans="2:2">
      <c r="B448" s="92"/>
    </row>
    <row r="449" spans="2:2">
      <c r="B449" s="92"/>
    </row>
    <row r="450" spans="2:2">
      <c r="B450" s="92"/>
    </row>
    <row r="451" spans="2:2">
      <c r="B451" s="92"/>
    </row>
    <row r="452" spans="2:2">
      <c r="B452" s="92"/>
    </row>
    <row r="453" spans="2:2">
      <c r="B453" s="92"/>
    </row>
    <row r="454" spans="2:2">
      <c r="B454" s="92"/>
    </row>
    <row r="455" spans="2:2">
      <c r="B455" s="92"/>
    </row>
    <row r="456" spans="2:2">
      <c r="B456" s="92"/>
    </row>
    <row r="457" spans="2:2">
      <c r="B457" s="92"/>
    </row>
    <row r="458" spans="2:2">
      <c r="B458" s="92"/>
    </row>
    <row r="459" spans="2:2">
      <c r="B459" s="92"/>
    </row>
    <row r="460" spans="2:2">
      <c r="B460" s="92"/>
    </row>
    <row r="461" spans="2:2">
      <c r="B461" s="92"/>
    </row>
    <row r="462" spans="2:2">
      <c r="B462" s="92"/>
    </row>
    <row r="463" spans="2:2">
      <c r="B463" s="92"/>
    </row>
    <row r="464" spans="2:2">
      <c r="B464" s="92"/>
    </row>
    <row r="465" spans="2:2">
      <c r="B465" s="92"/>
    </row>
    <row r="466" spans="2:2">
      <c r="B466" s="92"/>
    </row>
    <row r="467" spans="2:2">
      <c r="B467" s="92"/>
    </row>
    <row r="468" spans="2:2">
      <c r="B468" s="92"/>
    </row>
    <row r="469" spans="2:2">
      <c r="B469" s="92"/>
    </row>
    <row r="470" spans="2:2">
      <c r="B470" s="92"/>
    </row>
    <row r="471" spans="2:2">
      <c r="B471" s="92"/>
    </row>
    <row r="472" spans="2:2">
      <c r="B472" s="92"/>
    </row>
    <row r="473" spans="2:2">
      <c r="B473" s="92"/>
    </row>
    <row r="474" spans="2:2">
      <c r="B474" s="92"/>
    </row>
    <row r="475" spans="2:2">
      <c r="B475" s="92"/>
    </row>
    <row r="476" spans="2:2">
      <c r="B476" s="92"/>
    </row>
    <row r="477" spans="2:2">
      <c r="B477" s="92"/>
    </row>
    <row r="478" spans="2:2">
      <c r="B478" s="92"/>
    </row>
    <row r="479" spans="2:2">
      <c r="B479" s="92"/>
    </row>
    <row r="480" spans="2:2">
      <c r="B480" s="92"/>
    </row>
    <row r="481" spans="2:2">
      <c r="B481" s="92"/>
    </row>
    <row r="482" spans="2:2">
      <c r="B482" s="92"/>
    </row>
    <row r="483" spans="2:2">
      <c r="B483" s="92"/>
    </row>
    <row r="484" spans="2:2">
      <c r="B484" s="92"/>
    </row>
    <row r="485" spans="2:2">
      <c r="B485" s="92"/>
    </row>
    <row r="486" spans="2:2">
      <c r="B486" s="92"/>
    </row>
    <row r="487" spans="2:2">
      <c r="B487" s="92"/>
    </row>
    <row r="488" spans="2:2">
      <c r="B488" s="92"/>
    </row>
    <row r="489" spans="2:2">
      <c r="B489" s="92"/>
    </row>
    <row r="490" spans="2:2">
      <c r="B490" s="92"/>
    </row>
    <row r="491" spans="2:2">
      <c r="B491" s="92"/>
    </row>
    <row r="492" spans="2:2">
      <c r="B492" s="92"/>
    </row>
    <row r="493" spans="2:2">
      <c r="B493" s="92"/>
    </row>
    <row r="494" spans="2:2">
      <c r="B494" s="92"/>
    </row>
    <row r="495" spans="2:2">
      <c r="B495" s="92"/>
    </row>
    <row r="496" spans="2:2">
      <c r="B496" s="92"/>
    </row>
    <row r="497" spans="2:2">
      <c r="B497" s="92"/>
    </row>
    <row r="498" spans="2:2">
      <c r="B498" s="92"/>
    </row>
    <row r="499" spans="2:2">
      <c r="B499" s="92"/>
    </row>
    <row r="500" spans="2:2">
      <c r="B500" s="92"/>
    </row>
    <row r="501" spans="2:2">
      <c r="B501" s="92"/>
    </row>
    <row r="502" spans="2:2">
      <c r="B502" s="92"/>
    </row>
    <row r="503" spans="2:2">
      <c r="B503" s="92"/>
    </row>
    <row r="504" spans="2:2">
      <c r="B504" s="92"/>
    </row>
    <row r="505" spans="2:2">
      <c r="B505" s="92"/>
    </row>
    <row r="506" spans="2:2">
      <c r="B506" s="92"/>
    </row>
    <row r="507" spans="2:2">
      <c r="B507" s="92"/>
    </row>
    <row r="508" spans="2:2">
      <c r="B508" s="92"/>
    </row>
    <row r="509" spans="2:2">
      <c r="B509" s="92"/>
    </row>
    <row r="510" spans="2:2">
      <c r="B510" s="92"/>
    </row>
    <row r="511" spans="2:2">
      <c r="B511" s="92"/>
    </row>
    <row r="512" spans="2:2">
      <c r="B512" s="92"/>
    </row>
    <row r="513" spans="2:2">
      <c r="B513" s="92"/>
    </row>
    <row r="514" spans="2:2">
      <c r="B514" s="92"/>
    </row>
    <row r="515" spans="2:2">
      <c r="B515" s="92"/>
    </row>
    <row r="516" spans="2:2">
      <c r="B516" s="92"/>
    </row>
    <row r="517" spans="2:2">
      <c r="B517" s="92"/>
    </row>
    <row r="518" spans="2:2">
      <c r="B518" s="92"/>
    </row>
    <row r="519" spans="2:2">
      <c r="B519" s="92"/>
    </row>
    <row r="520" spans="2:2">
      <c r="B520" s="92"/>
    </row>
    <row r="521" spans="2:2">
      <c r="B521" s="92"/>
    </row>
    <row r="522" spans="2:2">
      <c r="B522" s="92"/>
    </row>
    <row r="523" spans="2:2">
      <c r="B523" s="92"/>
    </row>
    <row r="524" spans="2:2">
      <c r="B524" s="92"/>
    </row>
    <row r="525" spans="2:2">
      <c r="B525" s="92"/>
    </row>
    <row r="526" spans="2:2">
      <c r="B526" s="92"/>
    </row>
    <row r="527" spans="2:2">
      <c r="B527" s="92"/>
    </row>
    <row r="528" spans="2:2">
      <c r="B528" s="92"/>
    </row>
    <row r="529" spans="2:2">
      <c r="B529" s="92"/>
    </row>
    <row r="530" spans="2:2">
      <c r="B530" s="92"/>
    </row>
    <row r="531" spans="2:2">
      <c r="B531" s="92"/>
    </row>
    <row r="532" spans="2:2">
      <c r="B532" s="92"/>
    </row>
    <row r="533" spans="2:2">
      <c r="B533" s="92"/>
    </row>
    <row r="534" spans="2:2">
      <c r="B534" s="92"/>
    </row>
    <row r="535" spans="2:2">
      <c r="B535" s="92"/>
    </row>
    <row r="536" spans="2:2">
      <c r="B536" s="92"/>
    </row>
    <row r="537" spans="2:2">
      <c r="B537" s="92"/>
    </row>
    <row r="538" spans="2:2">
      <c r="B538" s="92"/>
    </row>
    <row r="539" spans="2:2">
      <c r="B539" s="92"/>
    </row>
    <row r="540" spans="2:2">
      <c r="B540" s="92"/>
    </row>
    <row r="541" spans="2:2">
      <c r="B541" s="92"/>
    </row>
    <row r="542" spans="2:2">
      <c r="B542" s="92"/>
    </row>
    <row r="543" spans="2:2">
      <c r="B543" s="92"/>
    </row>
    <row r="544" spans="2:2">
      <c r="B544" s="92"/>
    </row>
    <row r="545" spans="2:2">
      <c r="B545" s="92"/>
    </row>
    <row r="546" spans="2:2">
      <c r="B546" s="92"/>
    </row>
    <row r="547" spans="2:2">
      <c r="B547" s="92"/>
    </row>
    <row r="548" spans="2:2">
      <c r="B548" s="92"/>
    </row>
    <row r="549" spans="2:2">
      <c r="B549" s="92"/>
    </row>
    <row r="550" spans="2:2">
      <c r="B550" s="92"/>
    </row>
    <row r="551" spans="2:2">
      <c r="B551" s="92"/>
    </row>
    <row r="552" spans="2:2">
      <c r="B552" s="92"/>
    </row>
    <row r="553" spans="2:2">
      <c r="B553" s="92"/>
    </row>
    <row r="554" spans="2:2">
      <c r="B554" s="92"/>
    </row>
    <row r="555" spans="2:2">
      <c r="B555" s="92"/>
    </row>
    <row r="556" spans="2:2">
      <c r="B556" s="92"/>
    </row>
    <row r="557" spans="2:2">
      <c r="B557" s="92"/>
    </row>
    <row r="558" spans="2:2">
      <c r="B558" s="92"/>
    </row>
    <row r="559" spans="2:2">
      <c r="B559" s="92"/>
    </row>
    <row r="560" spans="2:2">
      <c r="B560" s="92"/>
    </row>
    <row r="561" spans="2:2">
      <c r="B561" s="92"/>
    </row>
    <row r="562" spans="2:2">
      <c r="B562" s="92"/>
    </row>
    <row r="563" spans="2:2">
      <c r="B563" s="92"/>
    </row>
    <row r="564" spans="2:2">
      <c r="B564" s="92"/>
    </row>
    <row r="565" spans="2:2">
      <c r="B565" s="92"/>
    </row>
    <row r="566" spans="2:2">
      <c r="B566" s="92"/>
    </row>
    <row r="567" spans="2:2">
      <c r="B567" s="92"/>
    </row>
    <row r="568" spans="2:2">
      <c r="B568" s="92"/>
    </row>
    <row r="569" spans="2:2">
      <c r="B569" s="92"/>
    </row>
    <row r="570" spans="2:2">
      <c r="B570" s="92"/>
    </row>
    <row r="571" spans="2:2">
      <c r="B571" s="92"/>
    </row>
    <row r="572" spans="2:2">
      <c r="B572" s="92"/>
    </row>
    <row r="573" spans="2:2">
      <c r="B573" s="92"/>
    </row>
    <row r="574" spans="2:2">
      <c r="B574" s="92"/>
    </row>
    <row r="575" spans="2:2">
      <c r="B575" s="92"/>
    </row>
    <row r="576" spans="2:2">
      <c r="B576" s="92"/>
    </row>
    <row r="577" spans="2:2">
      <c r="B577" s="92"/>
    </row>
    <row r="578" spans="2:2">
      <c r="B578" s="92"/>
    </row>
    <row r="579" spans="2:2">
      <c r="B579" s="92"/>
    </row>
    <row r="580" spans="2:2">
      <c r="B580" s="92"/>
    </row>
    <row r="581" spans="2:2">
      <c r="B581" s="92"/>
    </row>
  </sheetData>
  <sheetProtection algorithmName="SHA-512" hashValue="pHX3P/5yOs5r3Ifs8aBipFSytPNIGJW/E/Wr4b1wt5Fd4kRH+xw+UQmJCcSbPCWgZ9ICWiZfu4RO3BpJPiljmw==" saltValue="/lxSLLZn4mqWqKxtzT6qmg==" spinCount="100000" sheet="1" objects="1" scenarios="1" formatRows="0" selectLockedCells="1"/>
  <pageMargins left="0.75" right="0.75" top="1" bottom="1" header="0.5" footer="0.5"/>
  <pageSetup paperSize="9" orientation="portrait" horizontalDpi="4294967292" verticalDpi="429496729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H8"/>
  <sheetViews>
    <sheetView workbookViewId="0">
      <selection activeCell="E3" sqref="E3:E8"/>
    </sheetView>
  </sheetViews>
  <sheetFormatPr baseColWidth="10" defaultColWidth="10.86328125" defaultRowHeight="14.25"/>
  <sheetData>
    <row r="1" spans="1:8">
      <c r="A1" t="s">
        <v>443</v>
      </c>
      <c r="B1">
        <f>SUM(C3:C43)</f>
        <v>1</v>
      </c>
      <c r="C1" t="str">
        <f>'General Info'!E3</f>
        <v>English</v>
      </c>
      <c r="D1">
        <f>SUM(E3:E8)</f>
        <v>0</v>
      </c>
      <c r="E1" t="e">
        <f>VLOOKUP(D1,A3:B12,2)</f>
        <v>#N/A</v>
      </c>
    </row>
    <row r="2" spans="1:8">
      <c r="G2" s="197" t="s">
        <v>1316</v>
      </c>
      <c r="H2" s="197" t="s">
        <v>1315</v>
      </c>
    </row>
    <row r="3" spans="1:8">
      <c r="A3">
        <v>1</v>
      </c>
      <c r="B3" t="s">
        <v>439</v>
      </c>
      <c r="C3">
        <f>IF(B3=$C$1,A3,0)</f>
        <v>1</v>
      </c>
      <c r="E3">
        <f>IF(Translations!$C$1='Languages Available'!B3,A3,0)</f>
        <v>0</v>
      </c>
    </row>
    <row r="4" spans="1:8">
      <c r="A4">
        <v>2</v>
      </c>
      <c r="B4" t="s">
        <v>782</v>
      </c>
      <c r="C4">
        <f>IF(B4=$C$1,A4,0)</f>
        <v>0</v>
      </c>
      <c r="E4">
        <f>IF(Translations!$C$1='Languages Available'!B4,A4,0)</f>
        <v>0</v>
      </c>
    </row>
    <row r="5" spans="1:8">
      <c r="A5">
        <v>3</v>
      </c>
      <c r="B5" t="s">
        <v>904</v>
      </c>
      <c r="C5">
        <f>IF(B5=$C$1,A5,0)</f>
        <v>0</v>
      </c>
      <c r="E5">
        <f>IF(Translations!$C$1='Languages Available'!B5,A5,0)</f>
        <v>0</v>
      </c>
    </row>
    <row r="6" spans="1:8">
      <c r="A6">
        <v>4</v>
      </c>
      <c r="B6" t="s">
        <v>1357</v>
      </c>
      <c r="C6">
        <f>IF(B6=$C$1,A6,0)</f>
        <v>0</v>
      </c>
      <c r="E6">
        <f>IF(Translations!$C$1='Languages Available'!B6,A6,0)</f>
        <v>0</v>
      </c>
    </row>
    <row r="7" spans="1:8">
      <c r="A7">
        <v>5</v>
      </c>
      <c r="B7" t="s">
        <v>1862</v>
      </c>
      <c r="C7">
        <f t="shared" ref="C7:C8" si="0">IF(B7=$C$1,A7,0)</f>
        <v>0</v>
      </c>
      <c r="E7">
        <f>IF(Translations!$C$1='Languages Available'!B7,A7,0)</f>
        <v>0</v>
      </c>
    </row>
    <row r="8" spans="1:8">
      <c r="A8">
        <v>6</v>
      </c>
      <c r="B8" t="s">
        <v>1863</v>
      </c>
      <c r="C8">
        <f t="shared" si="0"/>
        <v>0</v>
      </c>
      <c r="E8">
        <f>IF(Translations!$C$1='Languages Available'!B8,A8,0)</f>
        <v>0</v>
      </c>
    </row>
  </sheetData>
  <sheetProtection algorithmName="SHA-512" hashValue="H4tTTSeaFEmv0Rj/VisDyw/iOtwsuPwAyZr/O9+VIjVr8vijryuOt2rn078YA8c2v2svFqur26LLPB9VtRZqnw==" saltValue="gmOPHGnGxEhQxyUAH/MP6g==" spinCount="100000" sheet="1" objects="1" scenarios="1" formatRows="0" selectLockedCells="1"/>
  <pageMargins left="0.75" right="0.75" top="1" bottom="1" header="0.5" footer="0.5"/>
  <pageSetup paperSize="9" orientation="portrait" horizontalDpi="4294967292" verticalDpi="429496729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L26"/>
  <sheetViews>
    <sheetView zoomScale="150" zoomScaleNormal="150" zoomScalePageLayoutView="150" workbookViewId="0">
      <selection activeCell="G28" sqref="G28"/>
    </sheetView>
  </sheetViews>
  <sheetFormatPr baseColWidth="10" defaultColWidth="11.3984375" defaultRowHeight="14.25"/>
  <cols>
    <col min="5" max="5" width="4.265625" customWidth="1"/>
  </cols>
  <sheetData>
    <row r="1" spans="1:12">
      <c r="A1" t="s">
        <v>486</v>
      </c>
      <c r="E1" t="s">
        <v>1772</v>
      </c>
      <c r="L1" t="s">
        <v>1785</v>
      </c>
    </row>
    <row r="3" spans="1:12">
      <c r="A3" t="s">
        <v>1762</v>
      </c>
      <c r="E3">
        <v>1</v>
      </c>
    </row>
    <row r="4" spans="1:12">
      <c r="E4">
        <v>2</v>
      </c>
    </row>
    <row r="5" spans="1:12">
      <c r="A5" t="s">
        <v>1763</v>
      </c>
      <c r="B5" t="str">
        <f>win_or_mac()</f>
        <v>win</v>
      </c>
      <c r="E5">
        <v>3</v>
      </c>
    </row>
    <row r="6" spans="1:12">
      <c r="A6" t="s">
        <v>1770</v>
      </c>
      <c r="B6" t="str">
        <f>excel_version()</f>
        <v>15.0</v>
      </c>
      <c r="E6">
        <v>4</v>
      </c>
    </row>
    <row r="7" spans="1:12">
      <c r="E7">
        <v>5</v>
      </c>
    </row>
    <row r="8" spans="1:12">
      <c r="A8" t="s">
        <v>1771</v>
      </c>
      <c r="C8" t="str">
        <f>IF(B5="mac",DefaultMailProgram(),"windows send mail")</f>
        <v>windows send mail</v>
      </c>
      <c r="E8">
        <v>6</v>
      </c>
    </row>
    <row r="9" spans="1:12">
      <c r="E9">
        <v>7</v>
      </c>
    </row>
    <row r="10" spans="1:12">
      <c r="E10">
        <v>8</v>
      </c>
    </row>
    <row r="11" spans="1:12">
      <c r="E11">
        <v>9</v>
      </c>
    </row>
    <row r="12" spans="1:12">
      <c r="E12">
        <v>10</v>
      </c>
    </row>
    <row r="13" spans="1:12">
      <c r="E13">
        <v>11</v>
      </c>
    </row>
    <row r="14" spans="1:12">
      <c r="E14">
        <v>12</v>
      </c>
    </row>
    <row r="15" spans="1:12">
      <c r="E15">
        <v>13</v>
      </c>
    </row>
    <row r="16" spans="1:12">
      <c r="E16">
        <v>14</v>
      </c>
    </row>
    <row r="17" spans="1:5">
      <c r="E17">
        <v>15</v>
      </c>
    </row>
    <row r="18" spans="1:5">
      <c r="A18" t="s">
        <v>1764</v>
      </c>
      <c r="E18">
        <v>16</v>
      </c>
    </row>
    <row r="19" spans="1:5">
      <c r="E19">
        <v>17</v>
      </c>
    </row>
    <row r="20" spans="1:5">
      <c r="A20" t="s">
        <v>1765</v>
      </c>
      <c r="E20">
        <v>18</v>
      </c>
    </row>
    <row r="21" spans="1:5">
      <c r="A21" t="s">
        <v>1766</v>
      </c>
      <c r="E21">
        <v>19</v>
      </c>
    </row>
    <row r="22" spans="1:5">
      <c r="A22" t="s">
        <v>1767</v>
      </c>
      <c r="E22">
        <v>20</v>
      </c>
    </row>
    <row r="23" spans="1:5">
      <c r="A23" t="s">
        <v>1761</v>
      </c>
      <c r="E23">
        <v>21</v>
      </c>
    </row>
    <row r="24" spans="1:5">
      <c r="E24">
        <v>22</v>
      </c>
    </row>
    <row r="25" spans="1:5">
      <c r="A25" t="s">
        <v>1768</v>
      </c>
      <c r="E25">
        <v>23</v>
      </c>
    </row>
    <row r="26" spans="1:5">
      <c r="A26" t="s">
        <v>1769</v>
      </c>
      <c r="E26">
        <v>24</v>
      </c>
    </row>
  </sheetData>
  <sheetProtection algorithmName="SHA-512" hashValue="bl4uXDeZ6JEyVmY0y20qkOAJVv8so/vccfqtIR1ZvYFI6MVFxKYDQhsb1rVoaaV8N7VtTpJbBcZRRjbxhCltEA==" saltValue="x/TjvAJDCmVaKcU8Nfo4KQ==" spinCount="100000" sheet="1" objects="1" scenarios="1" formatRows="0" selectLockedCells="1"/>
  <pageMargins left="0.75" right="0.75" top="1" bottom="1" header="0.5" footer="0.5"/>
  <pageSetup paperSize="9" orientation="portrait" horizontalDpi="4294967292" verticalDpi="429496729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
  <dimension ref="A1:C585"/>
  <sheetViews>
    <sheetView workbookViewId="0">
      <selection activeCell="C1" sqref="C1"/>
    </sheetView>
  </sheetViews>
  <sheetFormatPr baseColWidth="10" defaultRowHeight="14.25"/>
  <cols>
    <col min="1" max="1" width="4.86328125" customWidth="1"/>
    <col min="2" max="2" width="65.86328125" customWidth="1"/>
    <col min="3" max="3" width="73.265625" style="356" customWidth="1"/>
  </cols>
  <sheetData>
    <row r="1" spans="1:3" ht="23.1" customHeight="1">
      <c r="B1" s="194" t="s">
        <v>2781</v>
      </c>
      <c r="C1" s="212"/>
    </row>
    <row r="3" spans="1:3" ht="21">
      <c r="A3" s="182"/>
      <c r="B3" s="194" t="s">
        <v>2778</v>
      </c>
      <c r="C3" s="354" t="s">
        <v>2778</v>
      </c>
    </row>
    <row r="4" spans="1:3">
      <c r="A4" s="6">
        <v>1</v>
      </c>
      <c r="B4" s="184" t="s">
        <v>114</v>
      </c>
      <c r="C4" s="355">
        <f>VLOOKUP(A4,Languages!$C$4:$I$273,1+'Languages Available'!$D$1)</f>
        <v>1</v>
      </c>
    </row>
    <row r="5" spans="1:3">
      <c r="A5" s="6">
        <f>A4+1</f>
        <v>2</v>
      </c>
      <c r="B5" s="185" t="s">
        <v>2</v>
      </c>
      <c r="C5" s="355">
        <f>VLOOKUP(A5,Languages!$C$4:$I$273,1+'Languages Available'!$D$1)</f>
        <v>2</v>
      </c>
    </row>
    <row r="6" spans="1:3" ht="28.5">
      <c r="A6" s="6">
        <f t="shared" ref="A6:A69" si="0">A5+1</f>
        <v>3</v>
      </c>
      <c r="B6" s="185" t="s">
        <v>84</v>
      </c>
      <c r="C6" s="355">
        <f>VLOOKUP(A6,Languages!$C$4:$I$273,1+'Languages Available'!$D$1)</f>
        <v>3</v>
      </c>
    </row>
    <row r="7" spans="1:3" ht="28.5">
      <c r="A7" s="6">
        <f t="shared" si="0"/>
        <v>4</v>
      </c>
      <c r="B7" s="185" t="s">
        <v>1789</v>
      </c>
      <c r="C7" s="355">
        <f>VLOOKUP(A7,Languages!$C$4:$I$273,1+'Languages Available'!$D$1)</f>
        <v>4</v>
      </c>
    </row>
    <row r="8" spans="1:3" ht="28.5">
      <c r="A8" s="6">
        <f t="shared" si="0"/>
        <v>5</v>
      </c>
      <c r="B8" s="185" t="s">
        <v>118</v>
      </c>
      <c r="C8" s="355">
        <f>VLOOKUP(A8,Languages!$C$4:$I$273,1+'Languages Available'!$D$1)</f>
        <v>5</v>
      </c>
    </row>
    <row r="9" spans="1:3" ht="42.75">
      <c r="A9" s="6">
        <f t="shared" si="0"/>
        <v>6</v>
      </c>
      <c r="B9" s="185" t="s">
        <v>1802</v>
      </c>
      <c r="C9" s="355">
        <f>VLOOKUP(A9,Languages!$C$4:$I$273,1+'Languages Available'!$D$1)</f>
        <v>6</v>
      </c>
    </row>
    <row r="10" spans="1:3">
      <c r="A10" s="6">
        <f t="shared" si="0"/>
        <v>7</v>
      </c>
      <c r="B10" s="185" t="s">
        <v>1794</v>
      </c>
      <c r="C10" s="355">
        <f>VLOOKUP(A10,Languages!$C$4:$I$273,1+'Languages Available'!$D$1)</f>
        <v>7</v>
      </c>
    </row>
    <row r="11" spans="1:3" ht="42.75">
      <c r="A11" s="6">
        <f t="shared" si="0"/>
        <v>8</v>
      </c>
      <c r="B11" s="185" t="s">
        <v>86</v>
      </c>
      <c r="C11" s="355">
        <f>VLOOKUP(A11,Languages!$C$4:$I$273,1+'Languages Available'!$D$1)</f>
        <v>8</v>
      </c>
    </row>
    <row r="12" spans="1:3" ht="57">
      <c r="A12" s="6">
        <f t="shared" si="0"/>
        <v>9</v>
      </c>
      <c r="B12" s="185" t="s">
        <v>87</v>
      </c>
      <c r="C12" s="355">
        <f>VLOOKUP(A12,Languages!$C$4:$I$273,1+'Languages Available'!$D$1)</f>
        <v>9</v>
      </c>
    </row>
    <row r="13" spans="1:3" ht="42.75">
      <c r="A13" s="6">
        <f t="shared" si="0"/>
        <v>10</v>
      </c>
      <c r="B13" s="185" t="s">
        <v>117</v>
      </c>
      <c r="C13" s="355">
        <f>VLOOKUP(A13,Languages!$C$4:$I$273,1+'Languages Available'!$D$1)</f>
        <v>10</v>
      </c>
    </row>
    <row r="14" spans="1:3" ht="28.5">
      <c r="A14" s="6">
        <f t="shared" si="0"/>
        <v>11</v>
      </c>
      <c r="B14" s="185" t="s">
        <v>85</v>
      </c>
      <c r="C14" s="355">
        <f>VLOOKUP(A14,Languages!$C$4:$I$273,1+'Languages Available'!$D$1)</f>
        <v>11</v>
      </c>
    </row>
    <row r="15" spans="1:3">
      <c r="A15" s="6">
        <f t="shared" si="0"/>
        <v>12</v>
      </c>
      <c r="B15" s="185" t="s">
        <v>88</v>
      </c>
      <c r="C15" s="355">
        <f>VLOOKUP(A15,Languages!$C$4:$I$273,1+'Languages Available'!$D$1)</f>
        <v>12</v>
      </c>
    </row>
    <row r="16" spans="1:3" ht="28.5">
      <c r="A16" s="6">
        <f t="shared" si="0"/>
        <v>13</v>
      </c>
      <c r="B16" s="185" t="s">
        <v>119</v>
      </c>
      <c r="C16" s="355">
        <f>VLOOKUP(A16,Languages!$C$4:$I$273,1+'Languages Available'!$D$1)</f>
        <v>13</v>
      </c>
    </row>
    <row r="17" spans="1:3">
      <c r="A17" s="6">
        <f t="shared" si="0"/>
        <v>14</v>
      </c>
      <c r="B17" s="185" t="s">
        <v>1799</v>
      </c>
      <c r="C17" s="355">
        <f>VLOOKUP(A17,Languages!$C$4:$I$273,1+'Languages Available'!$D$1)</f>
        <v>14</v>
      </c>
    </row>
    <row r="18" spans="1:3">
      <c r="A18" s="6">
        <f t="shared" si="0"/>
        <v>15</v>
      </c>
      <c r="B18" s="185" t="s">
        <v>1800</v>
      </c>
      <c r="C18" s="355">
        <f>VLOOKUP(A18,Languages!$C$4:$I$273,1+'Languages Available'!$D$1)</f>
        <v>15</v>
      </c>
    </row>
    <row r="19" spans="1:3">
      <c r="A19" s="6">
        <f t="shared" si="0"/>
        <v>16</v>
      </c>
      <c r="B19" s="185" t="s">
        <v>678</v>
      </c>
      <c r="C19" s="355">
        <f>VLOOKUP(A19,Languages!$C$4:$I$273,1+'Languages Available'!$D$1)</f>
        <v>16</v>
      </c>
    </row>
    <row r="20" spans="1:3">
      <c r="A20" s="6">
        <f t="shared" si="0"/>
        <v>17</v>
      </c>
      <c r="B20" s="185" t="s">
        <v>474</v>
      </c>
      <c r="C20" s="355">
        <f>VLOOKUP(A20,Languages!$C$4:$I$273,1+'Languages Available'!$D$1)</f>
        <v>17</v>
      </c>
    </row>
    <row r="21" spans="1:3" ht="57">
      <c r="A21" s="6">
        <f t="shared" si="0"/>
        <v>18</v>
      </c>
      <c r="B21" s="185" t="s">
        <v>271</v>
      </c>
      <c r="C21" s="355">
        <f>VLOOKUP(A21,Languages!$C$4:$I$273,1+'Languages Available'!$D$1)</f>
        <v>18</v>
      </c>
    </row>
    <row r="22" spans="1:3" ht="57">
      <c r="A22" s="6">
        <f t="shared" si="0"/>
        <v>19</v>
      </c>
      <c r="B22" s="185" t="s">
        <v>272</v>
      </c>
      <c r="C22" s="355">
        <f>VLOOKUP(A22,Languages!$C$4:$I$273,1+'Languages Available'!$D$1)</f>
        <v>19</v>
      </c>
    </row>
    <row r="23" spans="1:3" ht="57">
      <c r="A23" s="6">
        <f t="shared" si="0"/>
        <v>20</v>
      </c>
      <c r="B23" s="185" t="s">
        <v>273</v>
      </c>
      <c r="C23" s="355">
        <f>VLOOKUP(A23,Languages!$C$4:$I$273,1+'Languages Available'!$D$1)</f>
        <v>20</v>
      </c>
    </row>
    <row r="24" spans="1:3" ht="71.25">
      <c r="A24" s="6">
        <f t="shared" si="0"/>
        <v>21</v>
      </c>
      <c r="B24" s="256" t="s">
        <v>1804</v>
      </c>
      <c r="C24" s="355">
        <f>VLOOKUP(A24,Languages!$C$4:$I$273,1+'Languages Available'!$D$1)</f>
        <v>21</v>
      </c>
    </row>
    <row r="25" spans="1:3" ht="71.25">
      <c r="A25" s="6">
        <f t="shared" si="0"/>
        <v>22</v>
      </c>
      <c r="B25" s="256" t="s">
        <v>1805</v>
      </c>
      <c r="C25" s="355">
        <f>VLOOKUP(A25,Languages!$C$4:$I$273,1+'Languages Available'!$D$1)</f>
        <v>22</v>
      </c>
    </row>
    <row r="26" spans="1:3" ht="71.25">
      <c r="A26" s="6">
        <f t="shared" si="0"/>
        <v>23</v>
      </c>
      <c r="B26" s="256" t="s">
        <v>1821</v>
      </c>
      <c r="C26" s="355">
        <f>VLOOKUP(A26,Languages!$C$4:$I$273,1+'Languages Available'!$D$1)</f>
        <v>23</v>
      </c>
    </row>
    <row r="27" spans="1:3" ht="57">
      <c r="A27" s="6">
        <f t="shared" si="0"/>
        <v>24</v>
      </c>
      <c r="B27" s="185" t="s">
        <v>275</v>
      </c>
      <c r="C27" s="355">
        <f>VLOOKUP(A27,Languages!$C$4:$I$273,1+'Languages Available'!$D$1)</f>
        <v>24</v>
      </c>
    </row>
    <row r="28" spans="1:3" ht="71.25">
      <c r="A28" s="6">
        <f t="shared" si="0"/>
        <v>25</v>
      </c>
      <c r="B28" s="185" t="s">
        <v>540</v>
      </c>
      <c r="C28" s="355">
        <f>VLOOKUP(A28,Languages!$C$4:$I$273,1+'Languages Available'!$D$1)</f>
        <v>25</v>
      </c>
    </row>
    <row r="29" spans="1:3" ht="57">
      <c r="A29" s="6">
        <f t="shared" si="0"/>
        <v>26</v>
      </c>
      <c r="B29" s="185" t="s">
        <v>679</v>
      </c>
      <c r="C29" s="355">
        <f>VLOOKUP(A29,Languages!$C$4:$I$273,1+'Languages Available'!$D$1)</f>
        <v>26</v>
      </c>
    </row>
    <row r="30" spans="1:3">
      <c r="A30" s="6">
        <f t="shared" si="0"/>
        <v>27</v>
      </c>
      <c r="B30" s="185" t="s">
        <v>122</v>
      </c>
      <c r="C30" s="355">
        <f>VLOOKUP(A30,Languages!$C$4:$I$273,1+'Languages Available'!$D$1)</f>
        <v>27</v>
      </c>
    </row>
    <row r="31" spans="1:3">
      <c r="A31" s="6">
        <f t="shared" si="0"/>
        <v>28</v>
      </c>
      <c r="B31" s="185" t="s">
        <v>113</v>
      </c>
      <c r="C31" s="355">
        <f>VLOOKUP(A31,Languages!$C$4:$I$273,1+'Languages Available'!$D$1)</f>
        <v>28</v>
      </c>
    </row>
    <row r="32" spans="1:3">
      <c r="A32" s="6">
        <f t="shared" si="0"/>
        <v>29</v>
      </c>
      <c r="B32" s="185" t="s">
        <v>109</v>
      </c>
      <c r="C32" s="355">
        <f>VLOOKUP(A32,Languages!$C$4:$I$273,1+'Languages Available'!$D$1)</f>
        <v>29</v>
      </c>
    </row>
    <row r="33" spans="1:3">
      <c r="A33" s="6">
        <f t="shared" si="0"/>
        <v>30</v>
      </c>
      <c r="B33" s="185" t="s">
        <v>110</v>
      </c>
      <c r="C33" s="355">
        <f>VLOOKUP(A33,Languages!$C$4:$I$273,1+'Languages Available'!$D$1)</f>
        <v>30</v>
      </c>
    </row>
    <row r="34" spans="1:3">
      <c r="A34" s="6">
        <f t="shared" si="0"/>
        <v>31</v>
      </c>
      <c r="B34" s="185" t="s">
        <v>111</v>
      </c>
      <c r="C34" s="355">
        <f>VLOOKUP(A34,Languages!$C$4:$I$273,1+'Languages Available'!$D$1)</f>
        <v>31</v>
      </c>
    </row>
    <row r="35" spans="1:3">
      <c r="A35" s="6">
        <f t="shared" si="0"/>
        <v>32</v>
      </c>
      <c r="B35" s="185" t="s">
        <v>112</v>
      </c>
      <c r="C35" s="355">
        <f>VLOOKUP(A35,Languages!$C$4:$I$273,1+'Languages Available'!$D$1)</f>
        <v>32</v>
      </c>
    </row>
    <row r="36" spans="1:3">
      <c r="A36" s="6">
        <f t="shared" si="0"/>
        <v>33</v>
      </c>
      <c r="B36" s="185" t="s">
        <v>128</v>
      </c>
      <c r="C36" s="355">
        <f>VLOOKUP(A36,Languages!$C$4:$I$273,1+'Languages Available'!$D$1)</f>
        <v>33</v>
      </c>
    </row>
    <row r="37" spans="1:3">
      <c r="A37" s="6">
        <f t="shared" si="0"/>
        <v>34</v>
      </c>
      <c r="B37" s="185" t="s">
        <v>1323</v>
      </c>
      <c r="C37" s="355">
        <f>VLOOKUP(A37,Languages!$C$4:$I$273,1+'Languages Available'!$D$1)</f>
        <v>34</v>
      </c>
    </row>
    <row r="38" spans="1:3">
      <c r="A38" s="6">
        <f t="shared" si="0"/>
        <v>35</v>
      </c>
      <c r="B38" s="185" t="s">
        <v>1322</v>
      </c>
      <c r="C38" s="355">
        <f>VLOOKUP(A38,Languages!$C$4:$I$273,1+'Languages Available'!$D$1)</f>
        <v>35</v>
      </c>
    </row>
    <row r="39" spans="1:3">
      <c r="A39" s="6">
        <f t="shared" si="0"/>
        <v>36</v>
      </c>
      <c r="B39" s="185" t="s">
        <v>1321</v>
      </c>
      <c r="C39" s="355">
        <f>VLOOKUP(A39,Languages!$C$4:$I$273,1+'Languages Available'!$D$1)</f>
        <v>36</v>
      </c>
    </row>
    <row r="40" spans="1:3">
      <c r="A40" s="6">
        <f t="shared" si="0"/>
        <v>37</v>
      </c>
      <c r="B40" s="185" t="s">
        <v>129</v>
      </c>
      <c r="C40" s="355">
        <f>VLOOKUP(A40,Languages!$C$4:$I$273,1+'Languages Available'!$D$1)</f>
        <v>37</v>
      </c>
    </row>
    <row r="41" spans="1:3" ht="42.75">
      <c r="A41" s="6">
        <f t="shared" si="0"/>
        <v>38</v>
      </c>
      <c r="B41" s="185" t="s">
        <v>157</v>
      </c>
      <c r="C41" s="355">
        <f>VLOOKUP(A41,Languages!$C$4:$I$273,1+'Languages Available'!$D$1)</f>
        <v>38</v>
      </c>
    </row>
    <row r="42" spans="1:3" ht="57">
      <c r="A42" s="6">
        <f t="shared" si="0"/>
        <v>39</v>
      </c>
      <c r="B42" s="185" t="s">
        <v>680</v>
      </c>
      <c r="C42" s="355">
        <f>VLOOKUP(A42,Languages!$C$4:$I$273,1+'Languages Available'!$D$1)</f>
        <v>39</v>
      </c>
    </row>
    <row r="43" spans="1:3">
      <c r="A43" s="6">
        <f t="shared" si="0"/>
        <v>40</v>
      </c>
      <c r="B43" s="185" t="s">
        <v>1320</v>
      </c>
      <c r="C43" s="355">
        <f>VLOOKUP(A43,Languages!$C$4:$I$273,1+'Languages Available'!$D$1)</f>
        <v>40</v>
      </c>
    </row>
    <row r="44" spans="1:3">
      <c r="A44" s="6">
        <f t="shared" si="0"/>
        <v>41</v>
      </c>
      <c r="B44" s="185" t="s">
        <v>133</v>
      </c>
      <c r="C44" s="355">
        <f>VLOOKUP(A44,Languages!$C$4:$I$273,1+'Languages Available'!$D$1)</f>
        <v>41</v>
      </c>
    </row>
    <row r="45" spans="1:3">
      <c r="A45" s="6">
        <f t="shared" si="0"/>
        <v>42</v>
      </c>
      <c r="B45" s="185" t="s">
        <v>132</v>
      </c>
      <c r="C45" s="355">
        <f>VLOOKUP(A45,Languages!$C$4:$I$273,1+'Languages Available'!$D$1)</f>
        <v>42</v>
      </c>
    </row>
    <row r="46" spans="1:3">
      <c r="A46" s="6">
        <f t="shared" si="0"/>
        <v>43</v>
      </c>
      <c r="B46" s="185" t="s">
        <v>134</v>
      </c>
      <c r="C46" s="355">
        <f>VLOOKUP(A46,Languages!$C$4:$I$273,1+'Languages Available'!$D$1)</f>
        <v>43</v>
      </c>
    </row>
    <row r="47" spans="1:3">
      <c r="A47" s="6">
        <f t="shared" si="0"/>
        <v>44</v>
      </c>
      <c r="B47" s="185" t="s">
        <v>1319</v>
      </c>
      <c r="C47" s="355">
        <f>VLOOKUP(A47,Languages!$C$4:$I$273,1+'Languages Available'!$D$1)</f>
        <v>44</v>
      </c>
    </row>
    <row r="48" spans="1:3">
      <c r="A48" s="6">
        <f t="shared" si="0"/>
        <v>45</v>
      </c>
      <c r="B48" s="185" t="s">
        <v>135</v>
      </c>
      <c r="C48" s="355">
        <f>VLOOKUP(A48,Languages!$C$4:$I$273,1+'Languages Available'!$D$1)</f>
        <v>45</v>
      </c>
    </row>
    <row r="49" spans="1:3">
      <c r="A49" s="6">
        <f t="shared" si="0"/>
        <v>46</v>
      </c>
      <c r="B49" s="185" t="s">
        <v>136</v>
      </c>
      <c r="C49" s="355">
        <f>VLOOKUP(A49,Languages!$C$4:$I$273,1+'Languages Available'!$D$1)</f>
        <v>46</v>
      </c>
    </row>
    <row r="50" spans="1:3">
      <c r="A50" s="6">
        <f t="shared" si="0"/>
        <v>47</v>
      </c>
      <c r="B50" s="185" t="s">
        <v>137</v>
      </c>
      <c r="C50" s="355">
        <f>VLOOKUP(A50,Languages!$C$4:$I$273,1+'Languages Available'!$D$1)</f>
        <v>47</v>
      </c>
    </row>
    <row r="51" spans="1:3">
      <c r="A51" s="6">
        <f t="shared" si="0"/>
        <v>48</v>
      </c>
      <c r="B51" s="185" t="s">
        <v>138</v>
      </c>
      <c r="C51" s="355">
        <f>VLOOKUP(A51,Languages!$C$4:$I$273,1+'Languages Available'!$D$1)</f>
        <v>48</v>
      </c>
    </row>
    <row r="52" spans="1:3" ht="57">
      <c r="A52" s="6">
        <f t="shared" si="0"/>
        <v>49</v>
      </c>
      <c r="B52" s="185" t="s">
        <v>682</v>
      </c>
      <c r="C52" s="355">
        <f>VLOOKUP(A52,Languages!$C$4:$I$273,1+'Languages Available'!$D$1)</f>
        <v>49</v>
      </c>
    </row>
    <row r="53" spans="1:3" ht="57">
      <c r="A53" s="6">
        <f t="shared" si="0"/>
        <v>50</v>
      </c>
      <c r="B53" s="185" t="s">
        <v>684</v>
      </c>
      <c r="C53" s="355">
        <f>VLOOKUP(A53,Languages!$C$4:$I$273,1+'Languages Available'!$D$1)</f>
        <v>50</v>
      </c>
    </row>
    <row r="54" spans="1:3" ht="28.5">
      <c r="A54" s="6">
        <f t="shared" si="0"/>
        <v>51</v>
      </c>
      <c r="B54" s="185" t="s">
        <v>483</v>
      </c>
      <c r="C54" s="355">
        <f>VLOOKUP(A54,Languages!$C$4:$I$273,1+'Languages Available'!$D$1)</f>
        <v>51</v>
      </c>
    </row>
    <row r="55" spans="1:3" ht="28.5">
      <c r="A55" s="6">
        <f t="shared" si="0"/>
        <v>52</v>
      </c>
      <c r="B55" s="185" t="s">
        <v>222</v>
      </c>
      <c r="C55" s="355">
        <f>VLOOKUP(A55,Languages!$C$4:$I$273,1+'Languages Available'!$D$1)</f>
        <v>52</v>
      </c>
    </row>
    <row r="56" spans="1:3">
      <c r="A56" s="6">
        <f t="shared" si="0"/>
        <v>53</v>
      </c>
      <c r="B56" s="185" t="s">
        <v>139</v>
      </c>
      <c r="C56" s="355">
        <f>VLOOKUP(A56,Languages!$C$4:$I$273,1+'Languages Available'!$D$1)</f>
        <v>53</v>
      </c>
    </row>
    <row r="57" spans="1:3">
      <c r="A57" s="6">
        <f t="shared" si="0"/>
        <v>54</v>
      </c>
      <c r="B57" s="185" t="s">
        <v>140</v>
      </c>
      <c r="C57" s="355">
        <f>VLOOKUP(A57,Languages!$C$4:$I$273,1+'Languages Available'!$D$1)</f>
        <v>54</v>
      </c>
    </row>
    <row r="58" spans="1:3">
      <c r="A58" s="6">
        <f t="shared" si="0"/>
        <v>55</v>
      </c>
      <c r="B58" s="185" t="s">
        <v>141</v>
      </c>
      <c r="C58" s="355">
        <f>VLOOKUP(A58,Languages!$C$4:$I$273,1+'Languages Available'!$D$1)</f>
        <v>55</v>
      </c>
    </row>
    <row r="59" spans="1:3">
      <c r="A59" s="6">
        <f t="shared" si="0"/>
        <v>56</v>
      </c>
      <c r="B59" s="185" t="s">
        <v>142</v>
      </c>
      <c r="C59" s="355">
        <f>VLOOKUP(A59,Languages!$C$4:$I$273,1+'Languages Available'!$D$1)</f>
        <v>56</v>
      </c>
    </row>
    <row r="60" spans="1:3">
      <c r="A60" s="6">
        <f t="shared" si="0"/>
        <v>57</v>
      </c>
      <c r="B60" s="185" t="s">
        <v>143</v>
      </c>
      <c r="C60" s="355">
        <f>VLOOKUP(A60,Languages!$C$4:$I$273,1+'Languages Available'!$D$1)</f>
        <v>57</v>
      </c>
    </row>
    <row r="61" spans="1:3">
      <c r="A61" s="6">
        <f t="shared" si="0"/>
        <v>58</v>
      </c>
      <c r="B61" s="185" t="s">
        <v>144</v>
      </c>
      <c r="C61" s="355">
        <f>VLOOKUP(A61,Languages!$C$4:$I$273,1+'Languages Available'!$D$1)</f>
        <v>58</v>
      </c>
    </row>
    <row r="62" spans="1:3">
      <c r="A62" s="6">
        <f t="shared" si="0"/>
        <v>59</v>
      </c>
      <c r="B62" s="185" t="s">
        <v>145</v>
      </c>
      <c r="C62" s="355">
        <f>VLOOKUP(A62,Languages!$C$4:$I$273,1+'Languages Available'!$D$1)</f>
        <v>59</v>
      </c>
    </row>
    <row r="63" spans="1:3" ht="28.5">
      <c r="A63" s="6">
        <f t="shared" si="0"/>
        <v>60</v>
      </c>
      <c r="B63" s="185" t="s">
        <v>484</v>
      </c>
      <c r="C63" s="355">
        <f>VLOOKUP(A63,Languages!$C$4:$I$273,1+'Languages Available'!$D$1)</f>
        <v>60</v>
      </c>
    </row>
    <row r="64" spans="1:3">
      <c r="A64" s="6">
        <f t="shared" si="0"/>
        <v>61</v>
      </c>
      <c r="B64" s="185" t="s">
        <v>146</v>
      </c>
      <c r="C64" s="355">
        <f>VLOOKUP(A64,Languages!$C$4:$I$273,1+'Languages Available'!$D$1)</f>
        <v>61</v>
      </c>
    </row>
    <row r="65" spans="1:3">
      <c r="A65" s="6">
        <f t="shared" si="0"/>
        <v>62</v>
      </c>
      <c r="B65" s="185" t="s">
        <v>5</v>
      </c>
      <c r="C65" s="355">
        <f>VLOOKUP(A65,Languages!$C$4:$I$273,1+'Languages Available'!$D$1)</f>
        <v>62</v>
      </c>
    </row>
    <row r="66" spans="1:3">
      <c r="A66" s="6">
        <f t="shared" si="0"/>
        <v>63</v>
      </c>
      <c r="B66" s="185" t="s">
        <v>147</v>
      </c>
      <c r="C66" s="355">
        <f>VLOOKUP(A66,Languages!$C$4:$I$273,1+'Languages Available'!$D$1)</f>
        <v>63</v>
      </c>
    </row>
    <row r="67" spans="1:3" ht="71.25">
      <c r="A67" s="6">
        <f t="shared" si="0"/>
        <v>64</v>
      </c>
      <c r="B67" s="185" t="s">
        <v>686</v>
      </c>
      <c r="C67" s="355">
        <f>VLOOKUP(A67,Languages!$C$4:$I$273,1+'Languages Available'!$D$1)</f>
        <v>64</v>
      </c>
    </row>
    <row r="68" spans="1:3" ht="28.5">
      <c r="A68" s="6">
        <f t="shared" si="0"/>
        <v>65</v>
      </c>
      <c r="B68" s="185" t="s">
        <v>232</v>
      </c>
      <c r="C68" s="355">
        <f>VLOOKUP(A68,Languages!$C$4:$I$273,1+'Languages Available'!$D$1)</f>
        <v>65</v>
      </c>
    </row>
    <row r="69" spans="1:3">
      <c r="A69" s="6">
        <f t="shared" si="0"/>
        <v>66</v>
      </c>
      <c r="B69" s="185" t="s">
        <v>1325</v>
      </c>
      <c r="C69" s="355">
        <f>VLOOKUP(A69,Languages!$C$4:$I$273,1+'Languages Available'!$D$1)</f>
        <v>66</v>
      </c>
    </row>
    <row r="70" spans="1:3">
      <c r="A70" s="6">
        <f t="shared" ref="A70:A133" si="1">A69+1</f>
        <v>67</v>
      </c>
      <c r="B70" s="185" t="s">
        <v>1326</v>
      </c>
      <c r="C70" s="355">
        <f>VLOOKUP(A70,Languages!$C$4:$I$273,1+'Languages Available'!$D$1)</f>
        <v>67</v>
      </c>
    </row>
    <row r="71" spans="1:3">
      <c r="A71" s="6">
        <f t="shared" si="1"/>
        <v>68</v>
      </c>
      <c r="B71" s="185" t="s">
        <v>152</v>
      </c>
      <c r="C71" s="355">
        <f>VLOOKUP(A71,Languages!$C$4:$I$273,1+'Languages Available'!$D$1)</f>
        <v>68</v>
      </c>
    </row>
    <row r="72" spans="1:3">
      <c r="A72" s="6">
        <f t="shared" si="1"/>
        <v>69</v>
      </c>
      <c r="B72" s="185" t="s">
        <v>1327</v>
      </c>
      <c r="C72" s="355">
        <f>VLOOKUP(A72,Languages!$C$4:$I$273,1+'Languages Available'!$D$1)</f>
        <v>69</v>
      </c>
    </row>
    <row r="73" spans="1:3">
      <c r="A73" s="6">
        <f t="shared" si="1"/>
        <v>70</v>
      </c>
      <c r="B73" s="185" t="s">
        <v>154</v>
      </c>
      <c r="C73" s="355">
        <f>VLOOKUP(A73,Languages!$C$4:$I$273,1+'Languages Available'!$D$1)</f>
        <v>70</v>
      </c>
    </row>
    <row r="74" spans="1:3">
      <c r="A74" s="6">
        <f t="shared" si="1"/>
        <v>71</v>
      </c>
      <c r="B74" s="185" t="s">
        <v>1328</v>
      </c>
      <c r="C74" s="355">
        <f>VLOOKUP(A74,Languages!$C$4:$I$273,1+'Languages Available'!$D$1)</f>
        <v>71</v>
      </c>
    </row>
    <row r="75" spans="1:3">
      <c r="A75" s="6">
        <f t="shared" si="1"/>
        <v>72</v>
      </c>
      <c r="B75" s="185" t="s">
        <v>153</v>
      </c>
      <c r="C75" s="355">
        <f>VLOOKUP(A75,Languages!$C$4:$I$273,1+'Languages Available'!$D$1)</f>
        <v>72</v>
      </c>
    </row>
    <row r="76" spans="1:3">
      <c r="A76" s="6">
        <f t="shared" si="1"/>
        <v>73</v>
      </c>
      <c r="B76" s="185" t="s">
        <v>1327</v>
      </c>
      <c r="C76" s="355">
        <f>VLOOKUP(A76,Languages!$C$4:$I$273,1+'Languages Available'!$D$1)</f>
        <v>73</v>
      </c>
    </row>
    <row r="77" spans="1:3">
      <c r="A77" s="6">
        <f t="shared" si="1"/>
        <v>74</v>
      </c>
      <c r="B77" s="185" t="s">
        <v>154</v>
      </c>
      <c r="C77" s="355">
        <f>VLOOKUP(A77,Languages!$C$4:$I$273,1+'Languages Available'!$D$1)</f>
        <v>74</v>
      </c>
    </row>
    <row r="78" spans="1:3">
      <c r="A78" s="6">
        <f t="shared" si="1"/>
        <v>75</v>
      </c>
      <c r="B78" s="185" t="s">
        <v>1328</v>
      </c>
      <c r="C78" s="355">
        <f>VLOOKUP(A78,Languages!$C$4:$I$273,1+'Languages Available'!$D$1)</f>
        <v>75</v>
      </c>
    </row>
    <row r="79" spans="1:3">
      <c r="A79" s="6">
        <f t="shared" si="1"/>
        <v>76</v>
      </c>
      <c r="B79" s="185" t="s">
        <v>1329</v>
      </c>
      <c r="C79" s="355">
        <f>VLOOKUP(A79,Languages!$C$4:$I$273,1+'Languages Available'!$D$1)</f>
        <v>76</v>
      </c>
    </row>
    <row r="80" spans="1:3">
      <c r="A80" s="6">
        <f t="shared" si="1"/>
        <v>77</v>
      </c>
      <c r="B80" s="185" t="s">
        <v>155</v>
      </c>
      <c r="C80" s="355">
        <f>VLOOKUP(A80,Languages!$C$4:$I$273,1+'Languages Available'!$D$1)</f>
        <v>77</v>
      </c>
    </row>
    <row r="81" spans="1:3">
      <c r="A81" s="6">
        <f t="shared" si="1"/>
        <v>78</v>
      </c>
      <c r="B81" s="185" t="s">
        <v>156</v>
      </c>
      <c r="C81" s="355">
        <f>VLOOKUP(A81,Languages!$C$4:$I$273,1+'Languages Available'!$D$1)</f>
        <v>78</v>
      </c>
    </row>
    <row r="82" spans="1:3">
      <c r="A82" s="6">
        <f t="shared" si="1"/>
        <v>79</v>
      </c>
      <c r="B82" s="185" t="s">
        <v>158</v>
      </c>
      <c r="C82" s="355">
        <f>VLOOKUP(A82,Languages!$C$4:$I$273,1+'Languages Available'!$D$1)</f>
        <v>79</v>
      </c>
    </row>
    <row r="83" spans="1:3">
      <c r="A83" s="6">
        <f t="shared" si="1"/>
        <v>80</v>
      </c>
      <c r="B83" s="185" t="s">
        <v>1327</v>
      </c>
      <c r="C83" s="355">
        <f>VLOOKUP(A83,Languages!$C$4:$I$273,1+'Languages Available'!$D$1)</f>
        <v>80</v>
      </c>
    </row>
    <row r="84" spans="1:3">
      <c r="A84" s="6">
        <f t="shared" si="1"/>
        <v>81</v>
      </c>
      <c r="B84" s="185" t="s">
        <v>154</v>
      </c>
      <c r="C84" s="355">
        <f>VLOOKUP(A84,Languages!$C$4:$I$273,1+'Languages Available'!$D$1)</f>
        <v>81</v>
      </c>
    </row>
    <row r="85" spans="1:3">
      <c r="A85" s="6">
        <f t="shared" si="1"/>
        <v>82</v>
      </c>
      <c r="B85" s="185" t="s">
        <v>1328</v>
      </c>
      <c r="C85" s="355">
        <f>VLOOKUP(A85,Languages!$C$4:$I$273,1+'Languages Available'!$D$1)</f>
        <v>82</v>
      </c>
    </row>
    <row r="86" spans="1:3" ht="28.5">
      <c r="A86" s="6">
        <f t="shared" si="1"/>
        <v>83</v>
      </c>
      <c r="B86" s="185" t="s">
        <v>161</v>
      </c>
      <c r="C86" s="355">
        <f>VLOOKUP(A86,Languages!$C$4:$I$273,1+'Languages Available'!$D$1)</f>
        <v>83</v>
      </c>
    </row>
    <row r="87" spans="1:3">
      <c r="A87" s="6">
        <f t="shared" si="1"/>
        <v>84</v>
      </c>
      <c r="B87" s="185" t="s">
        <v>159</v>
      </c>
      <c r="C87" s="355">
        <f>VLOOKUP(A87,Languages!$C$4:$I$273,1+'Languages Available'!$D$1)</f>
        <v>84</v>
      </c>
    </row>
    <row r="88" spans="1:3">
      <c r="A88" s="6">
        <f t="shared" si="1"/>
        <v>85</v>
      </c>
      <c r="B88" s="185" t="s">
        <v>278</v>
      </c>
      <c r="C88" s="355">
        <f>VLOOKUP(A88,Languages!$C$4:$I$273,1+'Languages Available'!$D$1)</f>
        <v>85</v>
      </c>
    </row>
    <row r="89" spans="1:3">
      <c r="A89" s="6">
        <f t="shared" si="1"/>
        <v>86</v>
      </c>
      <c r="B89" s="185" t="s">
        <v>160</v>
      </c>
      <c r="C89" s="355">
        <f>VLOOKUP(A89,Languages!$C$4:$I$273,1+'Languages Available'!$D$1)</f>
        <v>86</v>
      </c>
    </row>
    <row r="90" spans="1:3">
      <c r="A90" s="6">
        <f t="shared" si="1"/>
        <v>87</v>
      </c>
      <c r="B90" s="185" t="s">
        <v>1330</v>
      </c>
      <c r="C90" s="355">
        <f>VLOOKUP(A90,Languages!$C$4:$I$273,1+'Languages Available'!$D$1)</f>
        <v>87</v>
      </c>
    </row>
    <row r="91" spans="1:3" ht="28.5">
      <c r="A91" s="6">
        <f t="shared" si="1"/>
        <v>88</v>
      </c>
      <c r="B91" s="185" t="s">
        <v>279</v>
      </c>
      <c r="C91" s="355">
        <f>VLOOKUP(A91,Languages!$C$4:$I$273,1+'Languages Available'!$D$1)</f>
        <v>88</v>
      </c>
    </row>
    <row r="92" spans="1:3" ht="97.5">
      <c r="A92" s="6">
        <f t="shared" si="1"/>
        <v>89</v>
      </c>
      <c r="B92" s="185" t="s">
        <v>280</v>
      </c>
      <c r="C92" s="355">
        <f>VLOOKUP(A92,Languages!$C$4:$I$273,1+'Languages Available'!$D$1)</f>
        <v>89</v>
      </c>
    </row>
    <row r="93" spans="1:3" ht="256.5">
      <c r="A93" s="6">
        <f t="shared" si="1"/>
        <v>90</v>
      </c>
      <c r="B93" s="185" t="s">
        <v>82</v>
      </c>
      <c r="C93" s="355">
        <f>VLOOKUP(A93,Languages!$C$4:$I$273,1+'Languages Available'!$D$1)</f>
        <v>90</v>
      </c>
    </row>
    <row r="94" spans="1:3" ht="28.5">
      <c r="A94" s="6">
        <f t="shared" si="1"/>
        <v>91</v>
      </c>
      <c r="B94" s="185" t="s">
        <v>281</v>
      </c>
      <c r="C94" s="355">
        <f>VLOOKUP(A94,Languages!$C$4:$I$273,1+'Languages Available'!$D$1)</f>
        <v>91</v>
      </c>
    </row>
    <row r="95" spans="1:3">
      <c r="A95" s="6">
        <f t="shared" si="1"/>
        <v>92</v>
      </c>
      <c r="B95" s="185" t="s">
        <v>482</v>
      </c>
      <c r="C95" s="355">
        <f>VLOOKUP(A95,Languages!$C$4:$I$273,1+'Languages Available'!$D$1)</f>
        <v>92</v>
      </c>
    </row>
    <row r="96" spans="1:3">
      <c r="A96" s="6">
        <f t="shared" si="1"/>
        <v>93</v>
      </c>
      <c r="B96" s="185" t="s">
        <v>162</v>
      </c>
      <c r="C96" s="355">
        <f>VLOOKUP(A96,Languages!$C$4:$I$273,1+'Languages Available'!$D$1)</f>
        <v>93</v>
      </c>
    </row>
    <row r="97" spans="1:3">
      <c r="A97" s="6">
        <f t="shared" si="1"/>
        <v>94</v>
      </c>
      <c r="B97" s="187" t="s">
        <v>166</v>
      </c>
      <c r="C97" s="355">
        <f>VLOOKUP(A97,Languages!$C$4:$I$273,1+'Languages Available'!$D$1)</f>
        <v>94</v>
      </c>
    </row>
    <row r="98" spans="1:3" ht="25.5">
      <c r="A98" s="6">
        <f t="shared" si="1"/>
        <v>95</v>
      </c>
      <c r="B98" s="187" t="s">
        <v>171</v>
      </c>
      <c r="C98" s="355">
        <f>VLOOKUP(A98,Languages!$C$4:$I$273,1+'Languages Available'!$D$1)</f>
        <v>95</v>
      </c>
    </row>
    <row r="99" spans="1:3">
      <c r="A99" s="6">
        <f t="shared" si="1"/>
        <v>96</v>
      </c>
      <c r="B99" s="187" t="s">
        <v>1334</v>
      </c>
      <c r="C99" s="355">
        <f>VLOOKUP(A99,Languages!$C$4:$I$273,1+'Languages Available'!$D$1)</f>
        <v>96</v>
      </c>
    </row>
    <row r="100" spans="1:3">
      <c r="A100" s="6">
        <f t="shared" si="1"/>
        <v>97</v>
      </c>
      <c r="B100" s="188" t="s">
        <v>172</v>
      </c>
      <c r="C100" s="355">
        <f>VLOOKUP(A100,Languages!$C$4:$I$273,1+'Languages Available'!$D$1)</f>
        <v>97</v>
      </c>
    </row>
    <row r="101" spans="1:3">
      <c r="A101" s="6">
        <f t="shared" si="1"/>
        <v>98</v>
      </c>
      <c r="B101" s="189" t="str">
        <f>CONCATENATE("Please choose width. ",IF(rampsCurved=yes,"&lt; 4m=0, 4-4.3m=1, &gt;4.3m=2, no ramps=2","&lt; 3m=0, 3-3.3m=1, &gt;3.3m=2, no ramps=2"))</f>
        <v>Please choose width. &lt; 3m=0, 3-3.3m=1, &gt;3.3m=2, no ramps=2</v>
      </c>
      <c r="C101" s="355">
        <f>VLOOKUP(A101,Languages!$C$4:$I$273,1+'Languages Available'!$D$1)</f>
        <v>98</v>
      </c>
    </row>
    <row r="102" spans="1:3" ht="38.25">
      <c r="A102" s="6">
        <f t="shared" si="1"/>
        <v>99</v>
      </c>
      <c r="B102" s="187" t="s">
        <v>178</v>
      </c>
      <c r="C102" s="355">
        <f>VLOOKUP(A102,Languages!$C$4:$I$273,1+'Languages Available'!$D$1)</f>
        <v>99</v>
      </c>
    </row>
    <row r="103" spans="1:3" ht="25.5">
      <c r="A103" s="6">
        <f t="shared" si="1"/>
        <v>100</v>
      </c>
      <c r="B103" s="187" t="s">
        <v>179</v>
      </c>
      <c r="C103" s="355">
        <f>VLOOKUP(A103,Languages!$C$4:$I$273,1+'Languages Available'!$D$1)</f>
        <v>100</v>
      </c>
    </row>
    <row r="104" spans="1:3" ht="25.5">
      <c r="A104" s="6">
        <f t="shared" si="1"/>
        <v>101</v>
      </c>
      <c r="B104" s="187" t="s">
        <v>180</v>
      </c>
      <c r="C104" s="355">
        <f>VLOOKUP(A104,Languages!$C$4:$I$273,1+'Languages Available'!$D$1)</f>
        <v>101</v>
      </c>
    </row>
    <row r="105" spans="1:3">
      <c r="A105" s="6">
        <f t="shared" si="1"/>
        <v>102</v>
      </c>
      <c r="B105" s="185" t="s">
        <v>181</v>
      </c>
      <c r="C105" s="355">
        <f>VLOOKUP(A105,Languages!$C$4:$I$273,1+'Languages Available'!$D$1)</f>
        <v>102</v>
      </c>
    </row>
    <row r="106" spans="1:3">
      <c r="A106" s="6">
        <f t="shared" si="1"/>
        <v>103</v>
      </c>
      <c r="B106" s="185" t="s">
        <v>276</v>
      </c>
      <c r="C106" s="355">
        <f>VLOOKUP(A106,Languages!$C$4:$I$273,1+'Languages Available'!$D$1)</f>
        <v>103</v>
      </c>
    </row>
    <row r="107" spans="1:3" ht="71.25">
      <c r="A107" s="6">
        <f t="shared" si="1"/>
        <v>104</v>
      </c>
      <c r="B107" s="185" t="s">
        <v>694</v>
      </c>
      <c r="C107" s="355">
        <f>VLOOKUP(A107,Languages!$C$4:$I$273,1+'Languages Available'!$D$1)</f>
        <v>104</v>
      </c>
    </row>
    <row r="108" spans="1:3">
      <c r="A108" s="6">
        <f t="shared" si="1"/>
        <v>105</v>
      </c>
      <c r="B108" s="185" t="s">
        <v>494</v>
      </c>
      <c r="C108" s="355">
        <f>VLOOKUP(A108,Languages!$C$4:$I$273,1+'Languages Available'!$D$1)</f>
        <v>105</v>
      </c>
    </row>
    <row r="109" spans="1:3" ht="28.5">
      <c r="A109" s="6">
        <f t="shared" si="1"/>
        <v>106</v>
      </c>
      <c r="B109" s="185" t="s">
        <v>193</v>
      </c>
      <c r="C109" s="355">
        <f>VLOOKUP(A109,Languages!$C$4:$I$273,1+'Languages Available'!$D$1)</f>
        <v>106</v>
      </c>
    </row>
    <row r="110" spans="1:3" ht="28.5">
      <c r="A110" s="6">
        <f t="shared" si="1"/>
        <v>107</v>
      </c>
      <c r="B110" s="185" t="s">
        <v>194</v>
      </c>
      <c r="C110" s="355">
        <f>VLOOKUP(A110,Languages!$C$4:$I$273,1+'Languages Available'!$D$1)</f>
        <v>107</v>
      </c>
    </row>
    <row r="111" spans="1:3" ht="28.5">
      <c r="A111" s="6">
        <f t="shared" si="1"/>
        <v>108</v>
      </c>
      <c r="B111" s="185" t="s">
        <v>197</v>
      </c>
      <c r="C111" s="355">
        <f>VLOOKUP(A111,Languages!$C$4:$I$273,1+'Languages Available'!$D$1)</f>
        <v>108</v>
      </c>
    </row>
    <row r="112" spans="1:3">
      <c r="A112" s="6">
        <f t="shared" si="1"/>
        <v>109</v>
      </c>
      <c r="B112" s="185" t="s">
        <v>198</v>
      </c>
      <c r="C112" s="355">
        <f>VLOOKUP(A112,Languages!$C$4:$I$273,1+'Languages Available'!$D$1)</f>
        <v>109</v>
      </c>
    </row>
    <row r="113" spans="1:3">
      <c r="A113" s="6">
        <f t="shared" si="1"/>
        <v>110</v>
      </c>
      <c r="B113" s="185" t="s">
        <v>268</v>
      </c>
      <c r="C113" s="355">
        <f>VLOOKUP(A113,Languages!$C$4:$I$273,1+'Languages Available'!$D$1)</f>
        <v>110</v>
      </c>
    </row>
    <row r="114" spans="1:3">
      <c r="A114" s="6">
        <f t="shared" si="1"/>
        <v>111</v>
      </c>
      <c r="B114" s="185" t="s">
        <v>269</v>
      </c>
      <c r="C114" s="355">
        <f>VLOOKUP(A114,Languages!$C$4:$I$273,1+'Languages Available'!$D$1)</f>
        <v>111</v>
      </c>
    </row>
    <row r="115" spans="1:3">
      <c r="A115" s="6">
        <f t="shared" si="1"/>
        <v>112</v>
      </c>
      <c r="B115" s="185" t="s">
        <v>199</v>
      </c>
      <c r="C115" s="355">
        <f>VLOOKUP(A115,Languages!$C$4:$I$273,1+'Languages Available'!$D$1)</f>
        <v>112</v>
      </c>
    </row>
    <row r="116" spans="1:3">
      <c r="A116" s="6">
        <f t="shared" si="1"/>
        <v>113</v>
      </c>
      <c r="B116" s="185" t="s">
        <v>203</v>
      </c>
      <c r="C116" s="355">
        <f>VLOOKUP(A116,Languages!$C$4:$I$273,1+'Languages Available'!$D$1)</f>
        <v>113</v>
      </c>
    </row>
    <row r="117" spans="1:3" ht="28.5">
      <c r="A117" s="6">
        <f t="shared" si="1"/>
        <v>114</v>
      </c>
      <c r="B117" s="185" t="s">
        <v>495</v>
      </c>
      <c r="C117" s="355">
        <f>VLOOKUP(A117,Languages!$C$4:$I$273,1+'Languages Available'!$D$1)</f>
        <v>114</v>
      </c>
    </row>
    <row r="118" spans="1:3" ht="28.5">
      <c r="A118" s="6">
        <f t="shared" si="1"/>
        <v>115</v>
      </c>
      <c r="B118" s="185" t="s">
        <v>496</v>
      </c>
      <c r="C118" s="355">
        <f>VLOOKUP(A118,Languages!$C$4:$I$273,1+'Languages Available'!$D$1)</f>
        <v>115</v>
      </c>
    </row>
    <row r="119" spans="1:3" ht="28.5">
      <c r="A119" s="6">
        <f t="shared" si="1"/>
        <v>116</v>
      </c>
      <c r="B119" s="185" t="s">
        <v>497</v>
      </c>
      <c r="C119" s="355">
        <f>VLOOKUP(A119,Languages!$C$4:$I$273,1+'Languages Available'!$D$1)</f>
        <v>116</v>
      </c>
    </row>
    <row r="120" spans="1:3">
      <c r="A120" s="6">
        <f t="shared" si="1"/>
        <v>117</v>
      </c>
      <c r="B120" s="185" t="s">
        <v>209</v>
      </c>
      <c r="C120" s="355">
        <f>VLOOKUP(A120,Languages!$C$4:$I$273,1+'Languages Available'!$D$1)</f>
        <v>117</v>
      </c>
    </row>
    <row r="121" spans="1:3">
      <c r="A121" s="6">
        <f t="shared" si="1"/>
        <v>118</v>
      </c>
      <c r="B121" s="185" t="s">
        <v>210</v>
      </c>
      <c r="C121" s="355">
        <f>VLOOKUP(A121,Languages!$C$4:$I$273,1+'Languages Available'!$D$1)</f>
        <v>118</v>
      </c>
    </row>
    <row r="122" spans="1:3">
      <c r="A122" s="6">
        <f t="shared" si="1"/>
        <v>119</v>
      </c>
      <c r="B122" s="185" t="s">
        <v>505</v>
      </c>
      <c r="C122" s="355">
        <f>VLOOKUP(A122,Languages!$C$4:$I$273,1+'Languages Available'!$D$1)</f>
        <v>119</v>
      </c>
    </row>
    <row r="123" spans="1:3" ht="28.5">
      <c r="A123" s="6">
        <f t="shared" si="1"/>
        <v>120</v>
      </c>
      <c r="B123" s="185" t="s">
        <v>498</v>
      </c>
      <c r="C123" s="355">
        <f>VLOOKUP(A123,Languages!$C$4:$I$273,1+'Languages Available'!$D$1)</f>
        <v>120</v>
      </c>
    </row>
    <row r="124" spans="1:3">
      <c r="A124" s="6">
        <f t="shared" si="1"/>
        <v>121</v>
      </c>
      <c r="B124" s="185" t="s">
        <v>499</v>
      </c>
      <c r="C124" s="355">
        <f>VLOOKUP(A124,Languages!$C$4:$I$273,1+'Languages Available'!$D$1)</f>
        <v>121</v>
      </c>
    </row>
    <row r="125" spans="1:3">
      <c r="A125" s="6">
        <f t="shared" si="1"/>
        <v>122</v>
      </c>
      <c r="B125" s="185" t="s">
        <v>504</v>
      </c>
      <c r="C125" s="355">
        <f>VLOOKUP(A125,Languages!$C$4:$I$273,1+'Languages Available'!$D$1)</f>
        <v>122</v>
      </c>
    </row>
    <row r="126" spans="1:3">
      <c r="A126" s="6">
        <f t="shared" si="1"/>
        <v>123</v>
      </c>
      <c r="B126" s="185" t="s">
        <v>248</v>
      </c>
      <c r="C126" s="355">
        <f>VLOOKUP(A126,Languages!$C$4:$I$273,1+'Languages Available'!$D$1)</f>
        <v>123</v>
      </c>
    </row>
    <row r="127" spans="1:3">
      <c r="A127" s="6">
        <f t="shared" si="1"/>
        <v>124</v>
      </c>
      <c r="B127" s="185" t="s">
        <v>249</v>
      </c>
      <c r="C127" s="355">
        <f>VLOOKUP(A127,Languages!$C$4:$I$273,1+'Languages Available'!$D$1)</f>
        <v>124</v>
      </c>
    </row>
    <row r="128" spans="1:3">
      <c r="A128" s="6">
        <f t="shared" si="1"/>
        <v>125</v>
      </c>
      <c r="B128" s="185" t="s">
        <v>502</v>
      </c>
      <c r="C128" s="355">
        <f>VLOOKUP(A128,Languages!$C$4:$I$273,1+'Languages Available'!$D$1)</f>
        <v>125</v>
      </c>
    </row>
    <row r="129" spans="1:3">
      <c r="A129" s="6">
        <f t="shared" si="1"/>
        <v>126</v>
      </c>
      <c r="B129" s="187" t="s">
        <v>500</v>
      </c>
      <c r="C129" s="355">
        <f>VLOOKUP(A129,Languages!$C$4:$I$273,1+'Languages Available'!$D$1)</f>
        <v>126</v>
      </c>
    </row>
    <row r="130" spans="1:3">
      <c r="A130" s="6">
        <f t="shared" si="1"/>
        <v>127</v>
      </c>
      <c r="B130" s="188" t="s">
        <v>212</v>
      </c>
      <c r="C130" s="355">
        <f>VLOOKUP(A130,Languages!$C$4:$I$273,1+'Languages Available'!$D$1)</f>
        <v>127</v>
      </c>
    </row>
    <row r="131" spans="1:3">
      <c r="A131" s="6">
        <f t="shared" si="1"/>
        <v>128</v>
      </c>
      <c r="B131" s="189" t="s">
        <v>501</v>
      </c>
      <c r="C131" s="355">
        <f>VLOOKUP(A131,Languages!$C$4:$I$273,1+'Languages Available'!$D$1)</f>
        <v>128</v>
      </c>
    </row>
    <row r="132" spans="1:3">
      <c r="A132" s="6">
        <f t="shared" si="1"/>
        <v>129</v>
      </c>
      <c r="B132" s="187" t="s">
        <v>1336</v>
      </c>
      <c r="C132" s="355">
        <f>VLOOKUP(A132,Languages!$C$4:$I$273,1+'Languages Available'!$D$1)</f>
        <v>129</v>
      </c>
    </row>
    <row r="133" spans="1:3">
      <c r="A133" s="6">
        <f t="shared" si="1"/>
        <v>130</v>
      </c>
      <c r="B133" s="190" t="s">
        <v>253</v>
      </c>
      <c r="C133" s="355">
        <f>VLOOKUP(A133,Languages!$C$4:$I$273,1+'Languages Available'!$D$1)</f>
        <v>130</v>
      </c>
    </row>
    <row r="134" spans="1:3">
      <c r="A134" s="6">
        <f t="shared" ref="A134:A197" si="2">A133+1</f>
        <v>131</v>
      </c>
      <c r="B134" s="190" t="s">
        <v>254</v>
      </c>
      <c r="C134" s="355">
        <f>VLOOKUP(A134,Languages!$C$4:$I$273,1+'Languages Available'!$D$1)</f>
        <v>131</v>
      </c>
    </row>
    <row r="135" spans="1:3">
      <c r="A135" s="6">
        <f t="shared" si="2"/>
        <v>132</v>
      </c>
      <c r="B135" s="190" t="s">
        <v>255</v>
      </c>
      <c r="C135" s="355">
        <f>VLOOKUP(A135,Languages!$C$4:$I$273,1+'Languages Available'!$D$1)</f>
        <v>132</v>
      </c>
    </row>
    <row r="136" spans="1:3">
      <c r="A136" s="6">
        <f t="shared" si="2"/>
        <v>133</v>
      </c>
      <c r="B136" s="190" t="s">
        <v>256</v>
      </c>
      <c r="C136" s="355">
        <f>VLOOKUP(A136,Languages!$C$4:$I$273,1+'Languages Available'!$D$1)</f>
        <v>133</v>
      </c>
    </row>
    <row r="137" spans="1:3" ht="25.5">
      <c r="A137" s="6">
        <f t="shared" si="2"/>
        <v>134</v>
      </c>
      <c r="B137" s="187" t="s">
        <v>437</v>
      </c>
      <c r="C137" s="355">
        <f>VLOOKUP(A137,Languages!$C$4:$I$273,1+'Languages Available'!$D$1)</f>
        <v>134</v>
      </c>
    </row>
    <row r="138" spans="1:3">
      <c r="A138" s="6">
        <f t="shared" si="2"/>
        <v>135</v>
      </c>
      <c r="B138" s="185" t="s">
        <v>182</v>
      </c>
      <c r="C138" s="355">
        <f>VLOOKUP(A138,Languages!$C$4:$I$273,1+'Languages Available'!$D$1)</f>
        <v>135</v>
      </c>
    </row>
    <row r="139" spans="1:3">
      <c r="A139" s="6">
        <f t="shared" si="2"/>
        <v>136</v>
      </c>
      <c r="B139" s="185" t="s">
        <v>276</v>
      </c>
      <c r="C139" s="355">
        <f>VLOOKUP(A139,Languages!$C$4:$I$273,1+'Languages Available'!$D$1)</f>
        <v>136</v>
      </c>
    </row>
    <row r="140" spans="1:3">
      <c r="A140" s="6">
        <f t="shared" si="2"/>
        <v>137</v>
      </c>
      <c r="B140" s="185" t="s">
        <v>93</v>
      </c>
      <c r="C140" s="355">
        <f>VLOOKUP(A140,Languages!$C$4:$I$273,1+'Languages Available'!$D$1)</f>
        <v>137</v>
      </c>
    </row>
    <row r="141" spans="1:3" ht="28.5">
      <c r="A141" s="6">
        <f t="shared" si="2"/>
        <v>138</v>
      </c>
      <c r="B141" s="185" t="s">
        <v>309</v>
      </c>
      <c r="C141" s="355">
        <f>VLOOKUP(A141,Languages!$C$4:$I$273,1+'Languages Available'!$D$1)</f>
        <v>138</v>
      </c>
    </row>
    <row r="142" spans="1:3">
      <c r="A142" s="6">
        <f t="shared" si="2"/>
        <v>139</v>
      </c>
      <c r="B142" s="185" t="s">
        <v>290</v>
      </c>
      <c r="C142" s="355">
        <f>VLOOKUP(A142,Languages!$C$4:$I$273,1+'Languages Available'!$D$1)</f>
        <v>139</v>
      </c>
    </row>
    <row r="143" spans="1:3">
      <c r="A143" s="6">
        <f t="shared" si="2"/>
        <v>140</v>
      </c>
      <c r="B143" s="185" t="s">
        <v>282</v>
      </c>
      <c r="C143" s="355">
        <f>VLOOKUP(A143,Languages!$C$4:$I$273,1+'Languages Available'!$D$1)</f>
        <v>140</v>
      </c>
    </row>
    <row r="144" spans="1:3">
      <c r="A144" s="6">
        <f t="shared" si="2"/>
        <v>141</v>
      </c>
      <c r="B144" s="185" t="s">
        <v>283</v>
      </c>
      <c r="C144" s="355">
        <f>VLOOKUP(A144,Languages!$C$4:$I$273,1+'Languages Available'!$D$1)</f>
        <v>141</v>
      </c>
    </row>
    <row r="145" spans="1:3">
      <c r="A145" s="6">
        <f t="shared" si="2"/>
        <v>142</v>
      </c>
      <c r="B145" s="185" t="s">
        <v>284</v>
      </c>
      <c r="C145" s="355">
        <f>VLOOKUP(A145,Languages!$C$4:$I$273,1+'Languages Available'!$D$1)</f>
        <v>142</v>
      </c>
    </row>
    <row r="146" spans="1:3">
      <c r="A146" s="6">
        <f t="shared" si="2"/>
        <v>143</v>
      </c>
      <c r="B146" s="185" t="s">
        <v>285</v>
      </c>
      <c r="C146" s="355">
        <f>VLOOKUP(A146,Languages!$C$4:$I$273,1+'Languages Available'!$D$1)</f>
        <v>143</v>
      </c>
    </row>
    <row r="147" spans="1:3">
      <c r="A147" s="6">
        <f t="shared" si="2"/>
        <v>144</v>
      </c>
      <c r="B147" s="185" t="s">
        <v>286</v>
      </c>
      <c r="C147" s="355">
        <f>VLOOKUP(A147,Languages!$C$4:$I$273,1+'Languages Available'!$D$1)</f>
        <v>144</v>
      </c>
    </row>
    <row r="148" spans="1:3">
      <c r="A148" s="6">
        <f t="shared" si="2"/>
        <v>145</v>
      </c>
      <c r="B148" s="185" t="s">
        <v>287</v>
      </c>
      <c r="C148" s="355">
        <f>VLOOKUP(A148,Languages!$C$4:$I$273,1+'Languages Available'!$D$1)</f>
        <v>145</v>
      </c>
    </row>
    <row r="149" spans="1:3">
      <c r="A149" s="6">
        <f t="shared" si="2"/>
        <v>146</v>
      </c>
      <c r="B149" s="185" t="s">
        <v>288</v>
      </c>
      <c r="C149" s="355">
        <f>VLOOKUP(A149,Languages!$C$4:$I$273,1+'Languages Available'!$D$1)</f>
        <v>146</v>
      </c>
    </row>
    <row r="150" spans="1:3">
      <c r="A150" s="6">
        <f t="shared" si="2"/>
        <v>147</v>
      </c>
      <c r="B150" s="185" t="s">
        <v>289</v>
      </c>
      <c r="C150" s="355">
        <f>VLOOKUP(A150,Languages!$C$4:$I$273,1+'Languages Available'!$D$1)</f>
        <v>147</v>
      </c>
    </row>
    <row r="151" spans="1:3">
      <c r="A151" s="6">
        <f t="shared" si="2"/>
        <v>148</v>
      </c>
      <c r="B151" s="185" t="s">
        <v>292</v>
      </c>
      <c r="C151" s="355">
        <f>VLOOKUP(A151,Languages!$C$4:$I$273,1+'Languages Available'!$D$1)</f>
        <v>148</v>
      </c>
    </row>
    <row r="152" spans="1:3" ht="28.5">
      <c r="A152" s="6">
        <f t="shared" si="2"/>
        <v>149</v>
      </c>
      <c r="B152" s="185" t="s">
        <v>291</v>
      </c>
      <c r="C152" s="355">
        <f>VLOOKUP(A152,Languages!$C$4:$I$273,1+'Languages Available'!$D$1)</f>
        <v>149</v>
      </c>
    </row>
    <row r="153" spans="1:3" ht="28.5">
      <c r="A153" s="6">
        <f t="shared" si="2"/>
        <v>150</v>
      </c>
      <c r="B153" s="185" t="s">
        <v>293</v>
      </c>
      <c r="C153" s="355">
        <f>VLOOKUP(A153,Languages!$C$4:$I$273,1+'Languages Available'!$D$1)</f>
        <v>150</v>
      </c>
    </row>
    <row r="154" spans="1:3" ht="28.5">
      <c r="A154" s="6">
        <f t="shared" si="2"/>
        <v>151</v>
      </c>
      <c r="B154" s="185" t="s">
        <v>299</v>
      </c>
      <c r="C154" s="355">
        <f>VLOOKUP(A154,Languages!$C$4:$I$273,1+'Languages Available'!$D$1)</f>
        <v>151</v>
      </c>
    </row>
    <row r="155" spans="1:3" ht="42.75">
      <c r="A155" s="6">
        <f t="shared" si="2"/>
        <v>152</v>
      </c>
      <c r="B155" s="185" t="s">
        <v>304</v>
      </c>
      <c r="C155" s="355">
        <f>VLOOKUP(A155,Languages!$C$4:$I$273,1+'Languages Available'!$D$1)</f>
        <v>152</v>
      </c>
    </row>
    <row r="156" spans="1:3" ht="42.75">
      <c r="A156" s="6">
        <f t="shared" si="2"/>
        <v>153</v>
      </c>
      <c r="B156" s="185" t="s">
        <v>514</v>
      </c>
      <c r="C156" s="355">
        <f>VLOOKUP(A156,Languages!$C$4:$I$273,1+'Languages Available'!$D$1)</f>
        <v>153</v>
      </c>
    </row>
    <row r="157" spans="1:3" ht="28.5">
      <c r="A157" s="6">
        <f t="shared" si="2"/>
        <v>154</v>
      </c>
      <c r="B157" s="185" t="s">
        <v>310</v>
      </c>
      <c r="C157" s="355">
        <f>VLOOKUP(A157,Languages!$C$4:$I$273,1+'Languages Available'!$D$1)</f>
        <v>154</v>
      </c>
    </row>
    <row r="158" spans="1:3">
      <c r="A158" s="6">
        <f t="shared" si="2"/>
        <v>155</v>
      </c>
      <c r="B158" s="185" t="s">
        <v>438</v>
      </c>
      <c r="C158" s="355">
        <f>VLOOKUP(A158,Languages!$C$4:$I$273,1+'Languages Available'!$D$1)</f>
        <v>155</v>
      </c>
    </row>
    <row r="159" spans="1:3">
      <c r="A159" s="6">
        <f t="shared" si="2"/>
        <v>156</v>
      </c>
      <c r="B159" s="185" t="s">
        <v>276</v>
      </c>
      <c r="C159" s="355">
        <f>VLOOKUP(A159,Languages!$C$4:$I$273,1+'Languages Available'!$D$1)</f>
        <v>156</v>
      </c>
    </row>
    <row r="160" spans="1:3">
      <c r="A160" s="6">
        <f t="shared" si="2"/>
        <v>157</v>
      </c>
      <c r="B160" s="187" t="s">
        <v>1337</v>
      </c>
      <c r="C160" s="355">
        <f>VLOOKUP(A160,Languages!$C$4:$I$273,1+'Languages Available'!$D$1)</f>
        <v>157</v>
      </c>
    </row>
    <row r="161" spans="1:3">
      <c r="A161" s="6">
        <f t="shared" si="2"/>
        <v>158</v>
      </c>
      <c r="B161" s="190" t="s">
        <v>314</v>
      </c>
      <c r="C161" s="355">
        <f>VLOOKUP(A161,Languages!$C$4:$I$273,1+'Languages Available'!$D$1)</f>
        <v>158</v>
      </c>
    </row>
    <row r="162" spans="1:3">
      <c r="A162" s="6">
        <f t="shared" si="2"/>
        <v>159</v>
      </c>
      <c r="B162" s="190" t="s">
        <v>315</v>
      </c>
      <c r="C162" s="355">
        <f>VLOOKUP(A162,Languages!$C$4:$I$273,1+'Languages Available'!$D$1)</f>
        <v>159</v>
      </c>
    </row>
    <row r="163" spans="1:3">
      <c r="A163" s="6">
        <f t="shared" si="2"/>
        <v>160</v>
      </c>
      <c r="B163" s="190" t="s">
        <v>316</v>
      </c>
      <c r="C163" s="355">
        <f>VLOOKUP(A163,Languages!$C$4:$I$273,1+'Languages Available'!$D$1)</f>
        <v>160</v>
      </c>
    </row>
    <row r="164" spans="1:3">
      <c r="A164" s="6">
        <f t="shared" si="2"/>
        <v>161</v>
      </c>
      <c r="B164" s="187" t="s">
        <v>321</v>
      </c>
      <c r="C164" s="355">
        <f>VLOOKUP(A164,Languages!$C$4:$I$273,1+'Languages Available'!$D$1)</f>
        <v>161</v>
      </c>
    </row>
    <row r="165" spans="1:3" ht="25.5">
      <c r="A165" s="6">
        <f t="shared" si="2"/>
        <v>162</v>
      </c>
      <c r="B165" s="188" t="s">
        <v>322</v>
      </c>
      <c r="C165" s="355">
        <f>VLOOKUP(A165,Languages!$C$4:$I$273,1+'Languages Available'!$D$1)</f>
        <v>162</v>
      </c>
    </row>
    <row r="166" spans="1:3" ht="25.5">
      <c r="A166" s="6">
        <f t="shared" si="2"/>
        <v>163</v>
      </c>
      <c r="B166" s="188" t="s">
        <v>323</v>
      </c>
      <c r="C166" s="355">
        <f>VLOOKUP(A166,Languages!$C$4:$I$273,1+'Languages Available'!$D$1)</f>
        <v>163</v>
      </c>
    </row>
    <row r="167" spans="1:3" ht="63.75">
      <c r="A167" s="6">
        <f t="shared" si="2"/>
        <v>164</v>
      </c>
      <c r="B167" s="187" t="s">
        <v>1808</v>
      </c>
      <c r="C167" s="355">
        <f>VLOOKUP(A167,Languages!$C$4:$I$273,1+'Languages Available'!$D$1)</f>
        <v>164</v>
      </c>
    </row>
    <row r="168" spans="1:3" ht="25.5">
      <c r="A168" s="6">
        <f t="shared" si="2"/>
        <v>165</v>
      </c>
      <c r="B168" s="187" t="s">
        <v>1812</v>
      </c>
      <c r="C168" s="355">
        <f>VLOOKUP(A168,Languages!$C$4:$I$273,1+'Languages Available'!$D$1)</f>
        <v>165</v>
      </c>
    </row>
    <row r="169" spans="1:3" ht="38.25">
      <c r="A169" s="6">
        <f t="shared" si="2"/>
        <v>166</v>
      </c>
      <c r="B169" s="187" t="s">
        <v>331</v>
      </c>
      <c r="C169" s="355">
        <f>VLOOKUP(A169,Languages!$C$4:$I$273,1+'Languages Available'!$D$1)</f>
        <v>166</v>
      </c>
    </row>
    <row r="170" spans="1:3" ht="25.5">
      <c r="A170" s="6">
        <f t="shared" si="2"/>
        <v>167</v>
      </c>
      <c r="B170" s="187" t="s">
        <v>332</v>
      </c>
      <c r="C170" s="355">
        <f>VLOOKUP(A170,Languages!$C$4:$I$273,1+'Languages Available'!$D$1)</f>
        <v>167</v>
      </c>
    </row>
    <row r="171" spans="1:3" ht="25.5">
      <c r="A171" s="6">
        <f t="shared" si="2"/>
        <v>168</v>
      </c>
      <c r="B171" s="187" t="s">
        <v>336</v>
      </c>
      <c r="C171" s="355">
        <f>VLOOKUP(A171,Languages!$C$4:$I$273,1+'Languages Available'!$D$1)</f>
        <v>168</v>
      </c>
    </row>
    <row r="172" spans="1:3">
      <c r="A172" s="6">
        <f t="shared" si="2"/>
        <v>169</v>
      </c>
      <c r="B172" s="187" t="s">
        <v>337</v>
      </c>
      <c r="C172" s="355">
        <f>VLOOKUP(A172,Languages!$C$4:$I$273,1+'Languages Available'!$D$1)</f>
        <v>169</v>
      </c>
    </row>
    <row r="173" spans="1:3">
      <c r="A173" s="6">
        <f t="shared" si="2"/>
        <v>170</v>
      </c>
      <c r="B173" s="188" t="s">
        <v>338</v>
      </c>
      <c r="C173" s="355">
        <f>VLOOKUP(A173,Languages!$C$4:$I$273,1+'Languages Available'!$D$1)</f>
        <v>170</v>
      </c>
    </row>
    <row r="174" spans="1:3">
      <c r="A174" s="6">
        <f t="shared" si="2"/>
        <v>171</v>
      </c>
      <c r="B174" s="188" t="s">
        <v>339</v>
      </c>
      <c r="C174" s="355">
        <f>VLOOKUP(A174,Languages!$C$4:$I$273,1+'Languages Available'!$D$1)</f>
        <v>171</v>
      </c>
    </row>
    <row r="175" spans="1:3">
      <c r="A175" s="6">
        <f t="shared" si="2"/>
        <v>172</v>
      </c>
      <c r="B175" s="187" t="s">
        <v>340</v>
      </c>
      <c r="C175" s="355">
        <f>VLOOKUP(A175,Languages!$C$4:$I$273,1+'Languages Available'!$D$1)</f>
        <v>172</v>
      </c>
    </row>
    <row r="176" spans="1:3">
      <c r="A176" s="6">
        <f t="shared" si="2"/>
        <v>173</v>
      </c>
      <c r="B176" s="190" t="s">
        <v>341</v>
      </c>
      <c r="C176" s="355">
        <f>VLOOKUP(A176,Languages!$C$4:$I$273,1+'Languages Available'!$D$1)</f>
        <v>173</v>
      </c>
    </row>
    <row r="177" spans="1:3">
      <c r="A177" s="6">
        <f t="shared" si="2"/>
        <v>174</v>
      </c>
      <c r="B177" s="190" t="s">
        <v>342</v>
      </c>
      <c r="C177" s="355">
        <f>VLOOKUP(A177,Languages!$C$4:$I$273,1+'Languages Available'!$D$1)</f>
        <v>174</v>
      </c>
    </row>
    <row r="178" spans="1:3">
      <c r="A178" s="6">
        <f t="shared" si="2"/>
        <v>175</v>
      </c>
      <c r="B178" s="190" t="s">
        <v>343</v>
      </c>
      <c r="C178" s="355">
        <f>VLOOKUP(A178,Languages!$C$4:$I$273,1+'Languages Available'!$D$1)</f>
        <v>175</v>
      </c>
    </row>
    <row r="179" spans="1:3">
      <c r="A179" s="6">
        <f t="shared" si="2"/>
        <v>176</v>
      </c>
      <c r="B179" s="191" t="s">
        <v>2776</v>
      </c>
      <c r="C179" s="355">
        <f>VLOOKUP(A179,Languages!$C$4:$I$273,1+'Languages Available'!$D$1)</f>
        <v>176</v>
      </c>
    </row>
    <row r="180" spans="1:3">
      <c r="A180" s="6">
        <f t="shared" si="2"/>
        <v>177</v>
      </c>
      <c r="B180" s="187" t="s">
        <v>1338</v>
      </c>
      <c r="C180" s="355">
        <f>VLOOKUP(A180,Languages!$C$4:$I$273,1+'Languages Available'!$D$1)</f>
        <v>177</v>
      </c>
    </row>
    <row r="181" spans="1:3">
      <c r="A181" s="6">
        <f t="shared" si="2"/>
        <v>178</v>
      </c>
      <c r="B181" s="190" t="s">
        <v>344</v>
      </c>
      <c r="C181" s="355">
        <f>VLOOKUP(A181,Languages!$C$4:$I$273,1+'Languages Available'!$D$1)</f>
        <v>178</v>
      </c>
    </row>
    <row r="182" spans="1:3">
      <c r="A182" s="6">
        <f t="shared" si="2"/>
        <v>179</v>
      </c>
      <c r="B182" s="190" t="s">
        <v>345</v>
      </c>
      <c r="C182" s="355">
        <f>VLOOKUP(A182,Languages!$C$4:$I$273,1+'Languages Available'!$D$1)</f>
        <v>179</v>
      </c>
    </row>
    <row r="183" spans="1:3">
      <c r="A183" s="6">
        <f t="shared" si="2"/>
        <v>180</v>
      </c>
      <c r="B183" s="190" t="s">
        <v>346</v>
      </c>
      <c r="C183" s="355">
        <f>VLOOKUP(A183,Languages!$C$4:$I$273,1+'Languages Available'!$D$1)</f>
        <v>180</v>
      </c>
    </row>
    <row r="184" spans="1:3">
      <c r="A184" s="6">
        <f t="shared" si="2"/>
        <v>181</v>
      </c>
      <c r="B184" s="187" t="s">
        <v>347</v>
      </c>
      <c r="C184" s="355">
        <f>VLOOKUP(A184,Languages!$C$4:$I$273,1+'Languages Available'!$D$1)</f>
        <v>181</v>
      </c>
    </row>
    <row r="185" spans="1:3">
      <c r="A185" s="6">
        <f t="shared" si="2"/>
        <v>182</v>
      </c>
      <c r="B185" s="190" t="s">
        <v>348</v>
      </c>
      <c r="C185" s="355">
        <f>VLOOKUP(A185,Languages!$C$4:$I$273,1+'Languages Available'!$D$1)</f>
        <v>182</v>
      </c>
    </row>
    <row r="186" spans="1:3">
      <c r="A186" s="6">
        <f t="shared" si="2"/>
        <v>183</v>
      </c>
      <c r="B186" s="190" t="s">
        <v>349</v>
      </c>
      <c r="C186" s="355">
        <f>VLOOKUP(A186,Languages!$C$4:$I$273,1+'Languages Available'!$D$1)</f>
        <v>183</v>
      </c>
    </row>
    <row r="187" spans="1:3">
      <c r="A187" s="6">
        <f t="shared" si="2"/>
        <v>184</v>
      </c>
      <c r="B187" s="190" t="s">
        <v>351</v>
      </c>
      <c r="C187" s="355">
        <f>VLOOKUP(A187,Languages!$C$4:$I$273,1+'Languages Available'!$D$1)</f>
        <v>184</v>
      </c>
    </row>
    <row r="188" spans="1:3">
      <c r="A188" s="6">
        <f t="shared" si="2"/>
        <v>185</v>
      </c>
      <c r="B188" s="190" t="s">
        <v>350</v>
      </c>
      <c r="C188" s="355">
        <f>VLOOKUP(A188,Languages!$C$4:$I$273,1+'Languages Available'!$D$1)</f>
        <v>185</v>
      </c>
    </row>
    <row r="189" spans="1:3">
      <c r="A189" s="6">
        <f t="shared" si="2"/>
        <v>186</v>
      </c>
      <c r="B189" s="190" t="s">
        <v>352</v>
      </c>
      <c r="C189" s="355">
        <f>VLOOKUP(A189,Languages!$C$4:$I$273,1+'Languages Available'!$D$1)</f>
        <v>186</v>
      </c>
    </row>
    <row r="190" spans="1:3">
      <c r="A190" s="6">
        <f t="shared" si="2"/>
        <v>187</v>
      </c>
      <c r="B190" s="190" t="s">
        <v>353</v>
      </c>
      <c r="C190" s="355">
        <f>VLOOKUP(A190,Languages!$C$4:$I$273,1+'Languages Available'!$D$1)</f>
        <v>187</v>
      </c>
    </row>
    <row r="191" spans="1:3">
      <c r="A191" s="6">
        <f t="shared" si="2"/>
        <v>188</v>
      </c>
      <c r="B191" s="190" t="s">
        <v>354</v>
      </c>
      <c r="C191" s="355">
        <f>VLOOKUP(A191,Languages!$C$4:$I$273,1+'Languages Available'!$D$1)</f>
        <v>188</v>
      </c>
    </row>
    <row r="192" spans="1:3">
      <c r="A192" s="6">
        <f t="shared" si="2"/>
        <v>189</v>
      </c>
      <c r="B192" s="190" t="s">
        <v>355</v>
      </c>
      <c r="C192" s="355">
        <f>VLOOKUP(A192,Languages!$C$4:$I$273,1+'Languages Available'!$D$1)</f>
        <v>189</v>
      </c>
    </row>
    <row r="193" spans="1:3">
      <c r="A193" s="6">
        <f t="shared" si="2"/>
        <v>190</v>
      </c>
      <c r="B193" s="187" t="s">
        <v>360</v>
      </c>
      <c r="C193" s="355">
        <f>VLOOKUP(A193,Languages!$C$4:$I$273,1+'Languages Available'!$D$1)</f>
        <v>190</v>
      </c>
    </row>
    <row r="194" spans="1:3">
      <c r="A194" s="6">
        <f t="shared" si="2"/>
        <v>191</v>
      </c>
      <c r="B194" s="187" t="s">
        <v>361</v>
      </c>
      <c r="C194" s="355">
        <f>VLOOKUP(A194,Languages!$C$4:$I$273,1+'Languages Available'!$D$1)</f>
        <v>191</v>
      </c>
    </row>
    <row r="195" spans="1:3" ht="38.25">
      <c r="A195" s="6">
        <f t="shared" si="2"/>
        <v>192</v>
      </c>
      <c r="B195" s="188" t="s">
        <v>538</v>
      </c>
      <c r="C195" s="355">
        <f>VLOOKUP(A195,Languages!$C$4:$I$273,1+'Languages Available'!$D$1)</f>
        <v>192</v>
      </c>
    </row>
    <row r="196" spans="1:3" ht="25.5">
      <c r="A196" s="6">
        <f t="shared" si="2"/>
        <v>193</v>
      </c>
      <c r="B196" s="188" t="s">
        <v>365</v>
      </c>
      <c r="C196" s="355">
        <f>VLOOKUP(A196,Languages!$C$4:$I$273,1+'Languages Available'!$D$1)</f>
        <v>193</v>
      </c>
    </row>
    <row r="197" spans="1:3">
      <c r="A197" s="6">
        <f t="shared" si="2"/>
        <v>194</v>
      </c>
      <c r="B197" s="187" t="s">
        <v>369</v>
      </c>
      <c r="C197" s="355">
        <f>VLOOKUP(A197,Languages!$C$4:$I$273,1+'Languages Available'!$D$1)</f>
        <v>194</v>
      </c>
    </row>
    <row r="198" spans="1:3">
      <c r="A198" s="6">
        <f t="shared" ref="A198:A261" si="3">A197+1</f>
        <v>195</v>
      </c>
      <c r="B198" s="190" t="s">
        <v>370</v>
      </c>
      <c r="C198" s="355">
        <f>VLOOKUP(A198,Languages!$C$4:$I$273,1+'Languages Available'!$D$1)</f>
        <v>195</v>
      </c>
    </row>
    <row r="199" spans="1:3">
      <c r="A199" s="6">
        <f t="shared" si="3"/>
        <v>196</v>
      </c>
      <c r="B199" s="190" t="s">
        <v>371</v>
      </c>
      <c r="C199" s="355">
        <f>VLOOKUP(A199,Languages!$C$4:$I$273,1+'Languages Available'!$D$1)</f>
        <v>196</v>
      </c>
    </row>
    <row r="200" spans="1:3">
      <c r="A200" s="6">
        <f t="shared" si="3"/>
        <v>197</v>
      </c>
      <c r="B200" s="190" t="s">
        <v>372</v>
      </c>
      <c r="C200" s="355">
        <f>VLOOKUP(A200,Languages!$C$4:$I$273,1+'Languages Available'!$D$1)</f>
        <v>197</v>
      </c>
    </row>
    <row r="201" spans="1:3">
      <c r="A201" s="6">
        <f t="shared" si="3"/>
        <v>198</v>
      </c>
      <c r="B201" s="190" t="s">
        <v>375</v>
      </c>
      <c r="C201" s="355">
        <f>VLOOKUP(A201,Languages!$C$4:$I$273,1+'Languages Available'!$D$1)</f>
        <v>198</v>
      </c>
    </row>
    <row r="202" spans="1:3">
      <c r="A202" s="6">
        <f t="shared" si="3"/>
        <v>199</v>
      </c>
      <c r="B202" s="187" t="s">
        <v>376</v>
      </c>
      <c r="C202" s="355">
        <f>VLOOKUP(A202,Languages!$C$4:$I$273,1+'Languages Available'!$D$1)</f>
        <v>199</v>
      </c>
    </row>
    <row r="203" spans="1:3">
      <c r="A203" s="6">
        <f t="shared" si="3"/>
        <v>200</v>
      </c>
      <c r="B203" s="188" t="s">
        <v>377</v>
      </c>
      <c r="C203" s="355">
        <f>VLOOKUP(A203,Languages!$C$4:$I$273,1+'Languages Available'!$D$1)</f>
        <v>200</v>
      </c>
    </row>
    <row r="204" spans="1:3">
      <c r="A204" s="6">
        <f t="shared" si="3"/>
        <v>201</v>
      </c>
      <c r="B204" s="188" t="s">
        <v>378</v>
      </c>
      <c r="C204" s="355">
        <f>VLOOKUP(A204,Languages!$C$4:$I$273,1+'Languages Available'!$D$1)</f>
        <v>201</v>
      </c>
    </row>
    <row r="205" spans="1:3">
      <c r="A205" s="6">
        <f t="shared" si="3"/>
        <v>202</v>
      </c>
      <c r="B205" s="187" t="s">
        <v>382</v>
      </c>
      <c r="C205" s="355">
        <f>VLOOKUP(A205,Languages!$C$4:$I$273,1+'Languages Available'!$D$1)</f>
        <v>202</v>
      </c>
    </row>
    <row r="206" spans="1:3">
      <c r="A206" s="6">
        <f t="shared" si="3"/>
        <v>203</v>
      </c>
      <c r="B206" s="190" t="s">
        <v>384</v>
      </c>
      <c r="C206" s="355">
        <f>VLOOKUP(A206,Languages!$C$4:$I$273,1+'Languages Available'!$D$1)</f>
        <v>203</v>
      </c>
    </row>
    <row r="207" spans="1:3">
      <c r="A207" s="6">
        <f t="shared" si="3"/>
        <v>204</v>
      </c>
      <c r="B207" s="190" t="s">
        <v>383</v>
      </c>
      <c r="C207" s="355">
        <f>VLOOKUP(A207,Languages!$C$4:$I$273,1+'Languages Available'!$D$1)</f>
        <v>204</v>
      </c>
    </row>
    <row r="208" spans="1:3">
      <c r="A208" s="6">
        <f t="shared" si="3"/>
        <v>205</v>
      </c>
      <c r="B208" s="190" t="s">
        <v>385</v>
      </c>
      <c r="C208" s="355">
        <f>VLOOKUP(A208,Languages!$C$4:$I$273,1+'Languages Available'!$D$1)</f>
        <v>205</v>
      </c>
    </row>
    <row r="209" spans="1:3">
      <c r="A209" s="6">
        <f t="shared" si="3"/>
        <v>206</v>
      </c>
      <c r="B209" s="187" t="s">
        <v>386</v>
      </c>
      <c r="C209" s="355">
        <f>VLOOKUP(A209,Languages!$C$4:$I$273,1+'Languages Available'!$D$1)</f>
        <v>206</v>
      </c>
    </row>
    <row r="210" spans="1:3">
      <c r="A210" s="6">
        <f t="shared" si="3"/>
        <v>207</v>
      </c>
      <c r="B210" s="187" t="s">
        <v>387</v>
      </c>
      <c r="C210" s="355">
        <f>VLOOKUP(A210,Languages!$C$4:$I$273,1+'Languages Available'!$D$1)</f>
        <v>207</v>
      </c>
    </row>
    <row r="211" spans="1:3">
      <c r="A211" s="6">
        <f t="shared" si="3"/>
        <v>208</v>
      </c>
      <c r="B211" s="187" t="s">
        <v>390</v>
      </c>
      <c r="C211" s="355">
        <f>VLOOKUP(A211,Languages!$C$4:$I$273,1+'Languages Available'!$D$1)</f>
        <v>208</v>
      </c>
    </row>
    <row r="212" spans="1:3">
      <c r="A212" s="6">
        <f t="shared" si="3"/>
        <v>209</v>
      </c>
      <c r="B212" s="188" t="s">
        <v>388</v>
      </c>
      <c r="C212" s="355">
        <f>VLOOKUP(A212,Languages!$C$4:$I$273,1+'Languages Available'!$D$1)</f>
        <v>209</v>
      </c>
    </row>
    <row r="213" spans="1:3">
      <c r="A213" s="6">
        <f t="shared" si="3"/>
        <v>210</v>
      </c>
      <c r="B213" s="188" t="s">
        <v>389</v>
      </c>
      <c r="C213" s="355">
        <f>VLOOKUP(A213,Languages!$C$4:$I$273,1+'Languages Available'!$D$1)</f>
        <v>210</v>
      </c>
    </row>
    <row r="214" spans="1:3">
      <c r="A214" s="6">
        <f t="shared" si="3"/>
        <v>211</v>
      </c>
      <c r="B214" s="185" t="s">
        <v>184</v>
      </c>
      <c r="C214" s="355">
        <f>VLOOKUP(A214,Languages!$C$4:$I$273,1+'Languages Available'!$D$1)</f>
        <v>211</v>
      </c>
    </row>
    <row r="215" spans="1:3">
      <c r="A215" s="6">
        <f t="shared" si="3"/>
        <v>212</v>
      </c>
      <c r="B215" s="185" t="s">
        <v>392</v>
      </c>
      <c r="C215" s="355">
        <f>VLOOKUP(A215,Languages!$C$4:$I$273,1+'Languages Available'!$D$1)</f>
        <v>212</v>
      </c>
    </row>
    <row r="216" spans="1:3">
      <c r="A216" s="6">
        <f t="shared" si="3"/>
        <v>213</v>
      </c>
      <c r="B216" s="185" t="s">
        <v>391</v>
      </c>
      <c r="C216" s="355">
        <f>VLOOKUP(A216,Languages!$C$4:$I$273,1+'Languages Available'!$D$1)</f>
        <v>213</v>
      </c>
    </row>
    <row r="217" spans="1:3">
      <c r="A217" s="6">
        <f t="shared" si="3"/>
        <v>214</v>
      </c>
      <c r="B217" s="185" t="s">
        <v>1755</v>
      </c>
      <c r="C217" s="355">
        <f>VLOOKUP(A217,Languages!$C$4:$I$273,1+'Languages Available'!$D$1)</f>
        <v>214</v>
      </c>
    </row>
    <row r="218" spans="1:3">
      <c r="A218" s="6">
        <f t="shared" si="3"/>
        <v>215</v>
      </c>
      <c r="B218" s="185" t="s">
        <v>1341</v>
      </c>
      <c r="C218" s="355">
        <f>VLOOKUP(A218,Languages!$C$4:$I$273,1+'Languages Available'!$D$1)</f>
        <v>215</v>
      </c>
    </row>
    <row r="219" spans="1:3" ht="28.5">
      <c r="A219" s="6">
        <f t="shared" si="3"/>
        <v>216</v>
      </c>
      <c r="B219" s="185" t="s">
        <v>1342</v>
      </c>
      <c r="C219" s="355">
        <f>VLOOKUP(A219,Languages!$C$4:$I$273,1+'Languages Available'!$D$1)</f>
        <v>216</v>
      </c>
    </row>
    <row r="220" spans="1:3" ht="28.5">
      <c r="A220" s="6">
        <f t="shared" si="3"/>
        <v>217</v>
      </c>
      <c r="B220" s="185" t="s">
        <v>394</v>
      </c>
      <c r="C220" s="355">
        <f>VLOOKUP(A220,Languages!$C$4:$I$273,1+'Languages Available'!$D$1)</f>
        <v>217</v>
      </c>
    </row>
    <row r="221" spans="1:3">
      <c r="A221" s="6">
        <f t="shared" si="3"/>
        <v>218</v>
      </c>
      <c r="B221" s="185" t="s">
        <v>393</v>
      </c>
      <c r="C221" s="355">
        <f>VLOOKUP(A221,Languages!$C$4:$I$273,1+'Languages Available'!$D$1)</f>
        <v>218</v>
      </c>
    </row>
    <row r="222" spans="1:3" ht="28.5">
      <c r="A222" s="6">
        <f t="shared" si="3"/>
        <v>219</v>
      </c>
      <c r="B222" s="185" t="s">
        <v>103</v>
      </c>
      <c r="C222" s="355">
        <f>VLOOKUP(A222,Languages!$C$4:$I$273,1+'Languages Available'!$D$1)</f>
        <v>219</v>
      </c>
    </row>
    <row r="223" spans="1:3" ht="42.75">
      <c r="A223" s="6">
        <f t="shared" si="3"/>
        <v>220</v>
      </c>
      <c r="B223" s="185" t="s">
        <v>104</v>
      </c>
      <c r="C223" s="355">
        <f>VLOOKUP(A223,Languages!$C$4:$I$273,1+'Languages Available'!$D$1)</f>
        <v>220</v>
      </c>
    </row>
    <row r="224" spans="1:3" ht="28.5">
      <c r="A224" s="6">
        <f t="shared" si="3"/>
        <v>221</v>
      </c>
      <c r="B224" s="185" t="s">
        <v>397</v>
      </c>
      <c r="C224" s="355">
        <f>VLOOKUP(A224,Languages!$C$4:$I$273,1+'Languages Available'!$D$1)</f>
        <v>221</v>
      </c>
    </row>
    <row r="225" spans="1:3" ht="28.5">
      <c r="A225" s="6">
        <f t="shared" si="3"/>
        <v>222</v>
      </c>
      <c r="B225" s="185" t="s">
        <v>105</v>
      </c>
      <c r="C225" s="355">
        <f>VLOOKUP(A225,Languages!$C$4:$I$273,1+'Languages Available'!$D$1)</f>
        <v>222</v>
      </c>
    </row>
    <row r="226" spans="1:3" ht="28.5">
      <c r="A226" s="6">
        <f t="shared" si="3"/>
        <v>223</v>
      </c>
      <c r="B226" s="185" t="s">
        <v>106</v>
      </c>
      <c r="C226" s="355">
        <f>VLOOKUP(A226,Languages!$C$4:$I$273,1+'Languages Available'!$D$1)</f>
        <v>223</v>
      </c>
    </row>
    <row r="227" spans="1:3">
      <c r="A227" s="6">
        <f t="shared" si="3"/>
        <v>224</v>
      </c>
      <c r="B227" s="185" t="s">
        <v>185</v>
      </c>
      <c r="C227" s="355">
        <f>VLOOKUP(A227,Languages!$C$4:$I$273,1+'Languages Available'!$D$1)</f>
        <v>224</v>
      </c>
    </row>
    <row r="228" spans="1:3">
      <c r="A228" s="6">
        <f t="shared" si="3"/>
        <v>225</v>
      </c>
      <c r="B228" s="185" t="s">
        <v>398</v>
      </c>
      <c r="C228" s="355">
        <f>VLOOKUP(A228,Languages!$C$4:$I$273,1+'Languages Available'!$D$1)</f>
        <v>225</v>
      </c>
    </row>
    <row r="229" spans="1:3">
      <c r="A229" s="6">
        <f t="shared" si="3"/>
        <v>226</v>
      </c>
      <c r="B229" s="185" t="s">
        <v>399</v>
      </c>
      <c r="C229" s="355">
        <f>VLOOKUP(A229,Languages!$C$4:$I$273,1+'Languages Available'!$D$1)</f>
        <v>226</v>
      </c>
    </row>
    <row r="230" spans="1:3">
      <c r="A230" s="6">
        <f t="shared" si="3"/>
        <v>227</v>
      </c>
      <c r="B230" s="185" t="s">
        <v>400</v>
      </c>
      <c r="C230" s="355">
        <f>VLOOKUP(A230,Languages!$C$4:$I$273,1+'Languages Available'!$D$1)</f>
        <v>227</v>
      </c>
    </row>
    <row r="231" spans="1:3">
      <c r="A231" s="6">
        <f t="shared" si="3"/>
        <v>228</v>
      </c>
      <c r="B231" s="185" t="s">
        <v>401</v>
      </c>
      <c r="C231" s="355">
        <f>VLOOKUP(A231,Languages!$C$4:$I$273,1+'Languages Available'!$D$1)</f>
        <v>228</v>
      </c>
    </row>
    <row r="232" spans="1:3">
      <c r="A232" s="6">
        <f t="shared" si="3"/>
        <v>229</v>
      </c>
      <c r="B232" s="185" t="s">
        <v>402</v>
      </c>
      <c r="C232" s="355">
        <f>VLOOKUP(A232,Languages!$C$4:$I$273,1+'Languages Available'!$D$1)</f>
        <v>229</v>
      </c>
    </row>
    <row r="233" spans="1:3">
      <c r="A233" s="6">
        <f t="shared" si="3"/>
        <v>230</v>
      </c>
      <c r="B233" s="185" t="s">
        <v>403</v>
      </c>
      <c r="C233" s="355">
        <f>VLOOKUP(A233,Languages!$C$4:$I$273,1+'Languages Available'!$D$1)</f>
        <v>230</v>
      </c>
    </row>
    <row r="234" spans="1:3">
      <c r="A234" s="6">
        <f t="shared" si="3"/>
        <v>231</v>
      </c>
      <c r="B234" s="185" t="s">
        <v>404</v>
      </c>
      <c r="C234" s="355">
        <f>VLOOKUP(A234,Languages!$C$4:$I$273,1+'Languages Available'!$D$1)</f>
        <v>231</v>
      </c>
    </row>
    <row r="235" spans="1:3">
      <c r="A235" s="6">
        <f t="shared" si="3"/>
        <v>232</v>
      </c>
      <c r="B235" s="185" t="s">
        <v>399</v>
      </c>
      <c r="C235" s="355">
        <f>VLOOKUP(A235,Languages!$C$4:$I$273,1+'Languages Available'!$D$1)</f>
        <v>232</v>
      </c>
    </row>
    <row r="236" spans="1:3">
      <c r="A236" s="6">
        <f t="shared" si="3"/>
        <v>233</v>
      </c>
      <c r="B236" s="185" t="s">
        <v>400</v>
      </c>
      <c r="C236" s="355">
        <f>VLOOKUP(A236,Languages!$C$4:$I$273,1+'Languages Available'!$D$1)</f>
        <v>233</v>
      </c>
    </row>
    <row r="237" spans="1:3">
      <c r="A237" s="6">
        <f t="shared" si="3"/>
        <v>234</v>
      </c>
      <c r="B237" s="185" t="s">
        <v>401</v>
      </c>
      <c r="C237" s="355">
        <f>VLOOKUP(A237,Languages!$C$4:$I$273,1+'Languages Available'!$D$1)</f>
        <v>234</v>
      </c>
    </row>
    <row r="238" spans="1:3">
      <c r="A238" s="6">
        <f t="shared" si="3"/>
        <v>235</v>
      </c>
      <c r="B238" s="185" t="s">
        <v>402</v>
      </c>
      <c r="C238" s="355">
        <f>VLOOKUP(A238,Languages!$C$4:$I$273,1+'Languages Available'!$D$1)</f>
        <v>235</v>
      </c>
    </row>
    <row r="239" spans="1:3">
      <c r="A239" s="6">
        <f t="shared" si="3"/>
        <v>236</v>
      </c>
      <c r="B239" s="185" t="s">
        <v>405</v>
      </c>
      <c r="C239" s="355">
        <f>VLOOKUP(A239,Languages!$C$4:$I$273,1+'Languages Available'!$D$1)</f>
        <v>236</v>
      </c>
    </row>
    <row r="240" spans="1:3">
      <c r="A240" s="6">
        <f t="shared" si="3"/>
        <v>237</v>
      </c>
      <c r="B240" s="185" t="s">
        <v>406</v>
      </c>
      <c r="C240" s="355">
        <f>VLOOKUP(A240,Languages!$C$4:$I$273,1+'Languages Available'!$D$1)</f>
        <v>237</v>
      </c>
    </row>
    <row r="241" spans="1:3">
      <c r="A241" s="6">
        <f t="shared" si="3"/>
        <v>238</v>
      </c>
      <c r="B241" s="185" t="s">
        <v>399</v>
      </c>
      <c r="C241" s="355">
        <f>VLOOKUP(A241,Languages!$C$4:$I$273,1+'Languages Available'!$D$1)</f>
        <v>238</v>
      </c>
    </row>
    <row r="242" spans="1:3">
      <c r="A242" s="6">
        <f t="shared" si="3"/>
        <v>239</v>
      </c>
      <c r="B242" s="185" t="s">
        <v>400</v>
      </c>
      <c r="C242" s="355">
        <f>VLOOKUP(A242,Languages!$C$4:$I$273,1+'Languages Available'!$D$1)</f>
        <v>239</v>
      </c>
    </row>
    <row r="243" spans="1:3">
      <c r="A243" s="6">
        <f t="shared" si="3"/>
        <v>240</v>
      </c>
      <c r="B243" s="185" t="s">
        <v>402</v>
      </c>
      <c r="C243" s="355">
        <f>VLOOKUP(A243,Languages!$C$4:$I$273,1+'Languages Available'!$D$1)</f>
        <v>240</v>
      </c>
    </row>
    <row r="244" spans="1:3">
      <c r="A244" s="6">
        <f t="shared" si="3"/>
        <v>241</v>
      </c>
      <c r="B244" s="185" t="s">
        <v>407</v>
      </c>
      <c r="C244" s="355">
        <f>VLOOKUP(A244,Languages!$C$4:$I$273,1+'Languages Available'!$D$1)</f>
        <v>241</v>
      </c>
    </row>
    <row r="245" spans="1:3">
      <c r="A245" s="6">
        <f t="shared" si="3"/>
        <v>242</v>
      </c>
      <c r="B245" s="185" t="s">
        <v>408</v>
      </c>
      <c r="C245" s="355">
        <f>VLOOKUP(A245,Languages!$C$4:$I$273,1+'Languages Available'!$D$1)</f>
        <v>242</v>
      </c>
    </row>
    <row r="246" spans="1:3">
      <c r="A246" s="6">
        <f t="shared" si="3"/>
        <v>243</v>
      </c>
      <c r="B246" s="185" t="s">
        <v>409</v>
      </c>
      <c r="C246" s="355">
        <f>VLOOKUP(A246,Languages!$C$4:$I$273,1+'Languages Available'!$D$1)</f>
        <v>243</v>
      </c>
    </row>
    <row r="247" spans="1:3">
      <c r="A247" s="6">
        <f t="shared" si="3"/>
        <v>244</v>
      </c>
      <c r="B247" s="185" t="s">
        <v>410</v>
      </c>
      <c r="C247" s="355">
        <f>VLOOKUP(A247,Languages!$C$4:$I$273,1+'Languages Available'!$D$1)</f>
        <v>244</v>
      </c>
    </row>
    <row r="248" spans="1:3">
      <c r="A248" s="6">
        <f t="shared" si="3"/>
        <v>245</v>
      </c>
      <c r="B248" s="185" t="s">
        <v>411</v>
      </c>
      <c r="C248" s="355">
        <f>VLOOKUP(A248,Languages!$C$4:$I$273,1+'Languages Available'!$D$1)</f>
        <v>245</v>
      </c>
    </row>
    <row r="249" spans="1:3">
      <c r="A249" s="6">
        <f t="shared" si="3"/>
        <v>246</v>
      </c>
      <c r="B249" s="185" t="s">
        <v>412</v>
      </c>
      <c r="C249" s="355">
        <f>VLOOKUP(A249,Languages!$C$4:$I$273,1+'Languages Available'!$D$1)</f>
        <v>246</v>
      </c>
    </row>
    <row r="250" spans="1:3">
      <c r="A250" s="6">
        <f t="shared" si="3"/>
        <v>247</v>
      </c>
      <c r="B250" s="185" t="s">
        <v>413</v>
      </c>
      <c r="C250" s="355">
        <f>VLOOKUP(A250,Languages!$C$4:$I$273,1+'Languages Available'!$D$1)</f>
        <v>247</v>
      </c>
    </row>
    <row r="251" spans="1:3">
      <c r="A251" s="6">
        <f t="shared" si="3"/>
        <v>248</v>
      </c>
      <c r="B251" s="185" t="s">
        <v>399</v>
      </c>
      <c r="C251" s="355">
        <f>VLOOKUP(A251,Languages!$C$4:$I$273,1+'Languages Available'!$D$1)</f>
        <v>248</v>
      </c>
    </row>
    <row r="252" spans="1:3">
      <c r="A252" s="6">
        <f t="shared" si="3"/>
        <v>249</v>
      </c>
      <c r="B252" s="185" t="s">
        <v>414</v>
      </c>
      <c r="C252" s="355">
        <f>VLOOKUP(A252,Languages!$C$4:$I$273,1+'Languages Available'!$D$1)</f>
        <v>249</v>
      </c>
    </row>
    <row r="253" spans="1:3" ht="28.5">
      <c r="A253" s="6">
        <f t="shared" si="3"/>
        <v>250</v>
      </c>
      <c r="B253" s="185" t="s">
        <v>415</v>
      </c>
      <c r="C253" s="355">
        <f>VLOOKUP(A253,Languages!$C$4:$I$273,1+'Languages Available'!$D$1)</f>
        <v>250</v>
      </c>
    </row>
    <row r="254" spans="1:3" ht="28.5">
      <c r="A254" s="6">
        <f t="shared" si="3"/>
        <v>251</v>
      </c>
      <c r="B254" s="185" t="s">
        <v>107</v>
      </c>
      <c r="C254" s="355">
        <f>VLOOKUP(A254,Languages!$C$4:$I$273,1+'Languages Available'!$D$1)</f>
        <v>251</v>
      </c>
    </row>
    <row r="255" spans="1:3">
      <c r="A255" s="6">
        <f t="shared" si="3"/>
        <v>252</v>
      </c>
      <c r="B255" s="185" t="s">
        <v>1803</v>
      </c>
      <c r="C255" s="355">
        <f>VLOOKUP(A255,Languages!$C$4:$I$273,1+'Languages Available'!$D$1)</f>
        <v>252</v>
      </c>
    </row>
    <row r="256" spans="1:3">
      <c r="A256" s="6">
        <f t="shared" si="3"/>
        <v>253</v>
      </c>
      <c r="B256" s="185" t="s">
        <v>186</v>
      </c>
      <c r="C256" s="355">
        <f>VLOOKUP(A256,Languages!$C$4:$I$273,1+'Languages Available'!$D$1)</f>
        <v>253</v>
      </c>
    </row>
    <row r="257" spans="1:3">
      <c r="A257" s="6">
        <f t="shared" si="3"/>
        <v>254</v>
      </c>
      <c r="B257" s="185" t="s">
        <v>416</v>
      </c>
      <c r="C257" s="355">
        <f>VLOOKUP(A257,Languages!$C$4:$I$273,1+'Languages Available'!$D$1)</f>
        <v>254</v>
      </c>
    </row>
    <row r="258" spans="1:3">
      <c r="A258" s="6">
        <f t="shared" si="3"/>
        <v>255</v>
      </c>
      <c r="B258" s="185" t="s">
        <v>417</v>
      </c>
      <c r="C258" s="355">
        <f>VLOOKUP(A258,Languages!$C$4:$I$273,1+'Languages Available'!$D$1)</f>
        <v>255</v>
      </c>
    </row>
    <row r="259" spans="1:3">
      <c r="A259" s="6">
        <f t="shared" si="3"/>
        <v>256</v>
      </c>
      <c r="B259" s="185" t="s">
        <v>418</v>
      </c>
      <c r="C259" s="355">
        <f>VLOOKUP(A259,Languages!$C$4:$I$273,1+'Languages Available'!$D$1)</f>
        <v>256</v>
      </c>
    </row>
    <row r="260" spans="1:3">
      <c r="A260" s="6">
        <f t="shared" si="3"/>
        <v>257</v>
      </c>
      <c r="B260" s="185" t="s">
        <v>419</v>
      </c>
      <c r="C260" s="355">
        <f>VLOOKUP(A260,Languages!$C$4:$I$273,1+'Languages Available'!$D$1)</f>
        <v>257</v>
      </c>
    </row>
    <row r="261" spans="1:3">
      <c r="A261" s="6">
        <f t="shared" si="3"/>
        <v>258</v>
      </c>
      <c r="B261" s="185" t="s">
        <v>420</v>
      </c>
      <c r="C261" s="355">
        <f>VLOOKUP(A261,Languages!$C$4:$I$273,1+'Languages Available'!$D$1)</f>
        <v>258</v>
      </c>
    </row>
    <row r="262" spans="1:3">
      <c r="A262" s="6">
        <f t="shared" ref="A262:A273" si="4">A261+1</f>
        <v>259</v>
      </c>
      <c r="B262" s="185" t="s">
        <v>421</v>
      </c>
      <c r="C262" s="355">
        <f>VLOOKUP(A262,Languages!$C$4:$I$273,1+'Languages Available'!$D$1)</f>
        <v>259</v>
      </c>
    </row>
    <row r="263" spans="1:3">
      <c r="A263" s="6">
        <f t="shared" si="4"/>
        <v>260</v>
      </c>
      <c r="B263" s="185" t="s">
        <v>422</v>
      </c>
      <c r="C263" s="355">
        <f>VLOOKUP(A263,Languages!$C$4:$I$273,1+'Languages Available'!$D$1)</f>
        <v>260</v>
      </c>
    </row>
    <row r="264" spans="1:3">
      <c r="A264" s="6">
        <f t="shared" si="4"/>
        <v>261</v>
      </c>
      <c r="B264" s="185" t="s">
        <v>423</v>
      </c>
      <c r="C264" s="355">
        <f>VLOOKUP(A264,Languages!$C$4:$I$273,1+'Languages Available'!$D$1)</f>
        <v>261</v>
      </c>
    </row>
    <row r="265" spans="1:3">
      <c r="A265" s="6">
        <f t="shared" si="4"/>
        <v>262</v>
      </c>
      <c r="B265" s="185" t="s">
        <v>424</v>
      </c>
      <c r="C265" s="355">
        <f>VLOOKUP(A265,Languages!$C$4:$I$273,1+'Languages Available'!$D$1)</f>
        <v>262</v>
      </c>
    </row>
    <row r="266" spans="1:3">
      <c r="A266" s="6">
        <f t="shared" si="4"/>
        <v>263</v>
      </c>
      <c r="B266" s="185" t="s">
        <v>425</v>
      </c>
      <c r="C266" s="355">
        <f>VLOOKUP(A266,Languages!$C$4:$I$273,1+'Languages Available'!$D$1)</f>
        <v>263</v>
      </c>
    </row>
    <row r="267" spans="1:3">
      <c r="A267" s="6">
        <f t="shared" si="4"/>
        <v>264</v>
      </c>
      <c r="B267" s="185" t="s">
        <v>426</v>
      </c>
      <c r="C267" s="355">
        <f>VLOOKUP(A267,Languages!$C$4:$I$273,1+'Languages Available'!$D$1)</f>
        <v>264</v>
      </c>
    </row>
    <row r="268" spans="1:3" ht="28.5">
      <c r="A268" s="6">
        <f t="shared" si="4"/>
        <v>265</v>
      </c>
      <c r="B268" s="185" t="s">
        <v>427</v>
      </c>
      <c r="C268" s="355">
        <f>VLOOKUP(A268,Languages!$C$4:$I$273,1+'Languages Available'!$D$1)</f>
        <v>265</v>
      </c>
    </row>
    <row r="269" spans="1:3" ht="28.5">
      <c r="A269" s="6">
        <f t="shared" si="4"/>
        <v>266</v>
      </c>
      <c r="B269" s="185" t="s">
        <v>428</v>
      </c>
      <c r="C269" s="355">
        <f>VLOOKUP(A269,Languages!$C$4:$I$273,1+'Languages Available'!$D$1)</f>
        <v>266</v>
      </c>
    </row>
    <row r="270" spans="1:3">
      <c r="A270" s="6">
        <f t="shared" si="4"/>
        <v>267</v>
      </c>
      <c r="B270" s="185" t="s">
        <v>429</v>
      </c>
      <c r="C270" s="355">
        <f>VLOOKUP(A270,Languages!$C$4:$I$273,1+'Languages Available'!$D$1)</f>
        <v>267</v>
      </c>
    </row>
    <row r="271" spans="1:3" ht="28.5">
      <c r="A271" s="6">
        <f t="shared" si="4"/>
        <v>268</v>
      </c>
      <c r="B271" s="185" t="s">
        <v>264</v>
      </c>
      <c r="C271" s="355">
        <f>VLOOKUP(A271,Languages!$C$4:$I$273,1+'Languages Available'!$D$1)</f>
        <v>268</v>
      </c>
    </row>
    <row r="272" spans="1:3" ht="28.5">
      <c r="A272" s="6">
        <f t="shared" si="4"/>
        <v>269</v>
      </c>
      <c r="B272" s="185" t="s">
        <v>335</v>
      </c>
      <c r="C272" s="355">
        <f>VLOOKUP(A272,Languages!$C$4:$I$273,1+'Languages Available'!$D$1)</f>
        <v>269</v>
      </c>
    </row>
    <row r="273" spans="1:3" ht="42.75">
      <c r="A273" s="6">
        <f t="shared" si="4"/>
        <v>270</v>
      </c>
      <c r="B273" s="185" t="s">
        <v>537</v>
      </c>
      <c r="C273" s="355">
        <f>VLOOKUP(A273,Languages!$C$4:$I$273,1+'Languages Available'!$D$1)</f>
        <v>270</v>
      </c>
    </row>
    <row r="275" spans="1:3" ht="21">
      <c r="A275" s="182"/>
      <c r="B275" s="194" t="s">
        <v>2779</v>
      </c>
      <c r="C275" s="354" t="s">
        <v>2779</v>
      </c>
    </row>
    <row r="276" spans="1:3" ht="15.75">
      <c r="A276" s="349">
        <v>1</v>
      </c>
      <c r="B276" s="348" t="s">
        <v>445</v>
      </c>
      <c r="C276" s="355">
        <f>VLOOKUP(A276,Tags!$C$4:$I$80,1+'Languages Available'!$D$1)</f>
        <v>1</v>
      </c>
    </row>
    <row r="277" spans="1:3" ht="15.75">
      <c r="A277" s="349">
        <v>2</v>
      </c>
      <c r="B277" s="351" t="s">
        <v>442</v>
      </c>
      <c r="C277" s="355">
        <f>VLOOKUP(A277,Tags!$C$4:$I$80,1+'Languages Available'!$D$1)</f>
        <v>2</v>
      </c>
    </row>
    <row r="278" spans="1:3" ht="15.75">
      <c r="A278" s="349">
        <v>3</v>
      </c>
      <c r="B278" s="351" t="s">
        <v>440</v>
      </c>
      <c r="C278" s="355">
        <f>VLOOKUP(A278,Tags!$C$4:$I$80,1+'Languages Available'!$D$1)</f>
        <v>3</v>
      </c>
    </row>
    <row r="279" spans="1:3" ht="15.75">
      <c r="A279" s="349">
        <v>4</v>
      </c>
      <c r="B279" s="351" t="s">
        <v>441</v>
      </c>
      <c r="C279" s="355">
        <f>VLOOKUP(A279,Tags!$C$4:$I$80,1+'Languages Available'!$D$1)</f>
        <v>4</v>
      </c>
    </row>
    <row r="280" spans="1:3" ht="15.75">
      <c r="A280" s="349">
        <v>5</v>
      </c>
      <c r="B280" s="351" t="s">
        <v>444</v>
      </c>
      <c r="C280" s="355">
        <f>VLOOKUP(A280,Tags!$C$4:$I$80,1+'Languages Available'!$D$1)</f>
        <v>5</v>
      </c>
    </row>
    <row r="281" spans="1:3" ht="15.75">
      <c r="A281" s="349">
        <v>6</v>
      </c>
      <c r="B281" s="351" t="s">
        <v>0</v>
      </c>
      <c r="C281" s="355">
        <f>VLOOKUP(A281,Tags!$C$4:$I$80,1+'Languages Available'!$D$1)</f>
        <v>6</v>
      </c>
    </row>
    <row r="282" spans="1:3" ht="15.75">
      <c r="A282" s="349">
        <v>7</v>
      </c>
      <c r="B282" s="351" t="s">
        <v>446</v>
      </c>
      <c r="C282" s="355">
        <f>VLOOKUP(A282,Tags!$C$4:$I$80,1+'Languages Available'!$D$1)</f>
        <v>7</v>
      </c>
    </row>
    <row r="283" spans="1:3" ht="15.75">
      <c r="A283" s="349">
        <v>8</v>
      </c>
      <c r="B283" s="351" t="s">
        <v>447</v>
      </c>
      <c r="C283" s="355">
        <f>VLOOKUP(A283,Tags!$C$4:$I$80,1+'Languages Available'!$D$1)</f>
        <v>8</v>
      </c>
    </row>
    <row r="284" spans="1:3" ht="15.75">
      <c r="A284" s="349">
        <v>9</v>
      </c>
      <c r="B284" s="351" t="s">
        <v>448</v>
      </c>
      <c r="C284" s="355">
        <f>VLOOKUP(A284,Tags!$C$4:$I$80,1+'Languages Available'!$D$1)</f>
        <v>9</v>
      </c>
    </row>
    <row r="285" spans="1:3" ht="15.75">
      <c r="A285" s="349">
        <v>10</v>
      </c>
      <c r="B285" s="351" t="s">
        <v>449</v>
      </c>
      <c r="C285" s="355">
        <f>VLOOKUP(A285,Tags!$C$4:$I$80,1+'Languages Available'!$D$1)</f>
        <v>10</v>
      </c>
    </row>
    <row r="286" spans="1:3" ht="15.75">
      <c r="A286" s="349">
        <v>11</v>
      </c>
      <c r="B286" s="351" t="s">
        <v>450</v>
      </c>
      <c r="C286" s="355">
        <f>VLOOKUP(A286,Tags!$C$4:$I$80,1+'Languages Available'!$D$1)</f>
        <v>11</v>
      </c>
    </row>
    <row r="287" spans="1:3" ht="15.75">
      <c r="A287" s="349">
        <v>12</v>
      </c>
      <c r="B287" s="351" t="s">
        <v>451</v>
      </c>
      <c r="C287" s="355">
        <f>VLOOKUP(A287,Tags!$C$4:$I$80,1+'Languages Available'!$D$1)</f>
        <v>12</v>
      </c>
    </row>
    <row r="288" spans="1:3" ht="15.75">
      <c r="A288" s="349">
        <v>13</v>
      </c>
      <c r="B288" s="351" t="s">
        <v>452</v>
      </c>
      <c r="C288" s="355">
        <f>VLOOKUP(A288,Tags!$C$4:$I$80,1+'Languages Available'!$D$1)</f>
        <v>13</v>
      </c>
    </row>
    <row r="289" spans="1:3" ht="15.75">
      <c r="A289" s="349">
        <v>14</v>
      </c>
      <c r="B289" s="351" t="s">
        <v>453</v>
      </c>
      <c r="C289" s="355">
        <f>VLOOKUP(A289,Tags!$C$4:$I$80,1+'Languages Available'!$D$1)</f>
        <v>14</v>
      </c>
    </row>
    <row r="290" spans="1:3" ht="15.75">
      <c r="A290" s="349">
        <v>15</v>
      </c>
      <c r="B290" s="351" t="s">
        <v>454</v>
      </c>
      <c r="C290" s="355">
        <f>VLOOKUP(A290,Tags!$C$4:$I$80,1+'Languages Available'!$D$1)</f>
        <v>15</v>
      </c>
    </row>
    <row r="291" spans="1:3" ht="15.75">
      <c r="A291" s="349">
        <v>16</v>
      </c>
      <c r="B291" s="351" t="s">
        <v>455</v>
      </c>
      <c r="C291" s="355">
        <f>VLOOKUP(A291,Tags!$C$4:$I$80,1+'Languages Available'!$D$1)</f>
        <v>16</v>
      </c>
    </row>
    <row r="292" spans="1:3" ht="15.75">
      <c r="A292" s="349">
        <v>17</v>
      </c>
      <c r="B292" s="351" t="s">
        <v>469</v>
      </c>
      <c r="C292" s="355">
        <f>VLOOKUP(A292,Tags!$C$4:$I$80,1+'Languages Available'!$D$1)</f>
        <v>17</v>
      </c>
    </row>
    <row r="293" spans="1:3" ht="15.75">
      <c r="A293" s="349">
        <v>18</v>
      </c>
      <c r="B293" s="351" t="s">
        <v>470</v>
      </c>
      <c r="C293" s="355">
        <f>VLOOKUP(A293,Tags!$C$4:$I$80,1+'Languages Available'!$D$1)</f>
        <v>18</v>
      </c>
    </row>
    <row r="294" spans="1:3" ht="15.75">
      <c r="A294" s="349">
        <v>19</v>
      </c>
      <c r="B294" s="351" t="s">
        <v>1</v>
      </c>
      <c r="C294" s="355">
        <f>VLOOKUP(A294,Tags!$C$4:$I$80,1+'Languages Available'!$D$1)</f>
        <v>19</v>
      </c>
    </row>
    <row r="295" spans="1:3" ht="15.75">
      <c r="A295" s="349">
        <v>20</v>
      </c>
      <c r="B295" s="351" t="s">
        <v>471</v>
      </c>
      <c r="C295" s="355">
        <f>VLOOKUP(A295,Tags!$C$4:$I$80,1+'Languages Available'!$D$1)</f>
        <v>20</v>
      </c>
    </row>
    <row r="296" spans="1:3" ht="15.75">
      <c r="A296" s="349">
        <v>21</v>
      </c>
      <c r="B296" s="351" t="s">
        <v>472</v>
      </c>
      <c r="C296" s="355">
        <f>VLOOKUP(A296,Tags!$C$4:$I$80,1+'Languages Available'!$D$1)</f>
        <v>21</v>
      </c>
    </row>
    <row r="297" spans="1:3" ht="15.75">
      <c r="A297" s="349">
        <v>22</v>
      </c>
      <c r="B297" s="351" t="s">
        <v>120</v>
      </c>
      <c r="C297" s="355">
        <f>VLOOKUP(A297,Tags!$C$4:$I$80,1+'Languages Available'!$D$1)</f>
        <v>22</v>
      </c>
    </row>
    <row r="298" spans="1:3" ht="15.75">
      <c r="A298" s="349">
        <v>23</v>
      </c>
      <c r="B298" s="351" t="s">
        <v>121</v>
      </c>
      <c r="C298" s="355">
        <f>VLOOKUP(A298,Tags!$C$4:$I$80,1+'Languages Available'!$D$1)</f>
        <v>23</v>
      </c>
    </row>
    <row r="299" spans="1:3" ht="15.75">
      <c r="A299" s="349">
        <v>24</v>
      </c>
      <c r="B299" s="351" t="s">
        <v>473</v>
      </c>
      <c r="C299" s="355">
        <f>VLOOKUP(A299,Tags!$C$4:$I$80,1+'Languages Available'!$D$1)</f>
        <v>24</v>
      </c>
    </row>
    <row r="300" spans="1:3" ht="15.75">
      <c r="A300" s="349">
        <v>25</v>
      </c>
      <c r="B300" s="351" t="s">
        <v>116</v>
      </c>
      <c r="C300" s="355">
        <f>VLOOKUP(A300,Tags!$C$4:$I$80,1+'Languages Available'!$D$1)</f>
        <v>25</v>
      </c>
    </row>
    <row r="301" spans="1:3" ht="15.75">
      <c r="A301" s="349">
        <v>26</v>
      </c>
      <c r="B301" s="351" t="s">
        <v>521</v>
      </c>
      <c r="C301" s="355">
        <f>VLOOKUP(A301,Tags!$C$4:$I$80,1+'Languages Available'!$D$1)</f>
        <v>26</v>
      </c>
    </row>
    <row r="302" spans="1:3" ht="15.75">
      <c r="A302" s="349">
        <v>27</v>
      </c>
      <c r="B302" s="351" t="s">
        <v>127</v>
      </c>
      <c r="C302" s="355">
        <f>VLOOKUP(A302,Tags!$C$4:$I$80,1+'Languages Available'!$D$1)</f>
        <v>27</v>
      </c>
    </row>
    <row r="303" spans="1:3" ht="15.75">
      <c r="A303" s="349">
        <v>28</v>
      </c>
      <c r="B303" s="351" t="s">
        <v>277</v>
      </c>
      <c r="C303" s="355">
        <f>VLOOKUP(A303,Tags!$C$4:$I$80,1+'Languages Available'!$D$1)</f>
        <v>28</v>
      </c>
    </row>
    <row r="304" spans="1:3" ht="15.75">
      <c r="A304" s="349">
        <v>29</v>
      </c>
      <c r="B304" s="351" t="s">
        <v>125</v>
      </c>
      <c r="C304" s="355">
        <f>VLOOKUP(A304,Tags!$C$4:$I$80,1+'Languages Available'!$D$1)</f>
        <v>29</v>
      </c>
    </row>
    <row r="305" spans="1:3" ht="15.75">
      <c r="A305" s="349">
        <v>30</v>
      </c>
      <c r="B305" s="351" t="s">
        <v>126</v>
      </c>
      <c r="C305" s="355">
        <f>VLOOKUP(A305,Tags!$C$4:$I$80,1+'Languages Available'!$D$1)</f>
        <v>30</v>
      </c>
    </row>
    <row r="306" spans="1:3" ht="15.75">
      <c r="A306" s="349">
        <v>31</v>
      </c>
      <c r="B306" s="351" t="s">
        <v>3</v>
      </c>
      <c r="C306" s="355">
        <f>VLOOKUP(A306,Tags!$C$4:$I$80,1+'Languages Available'!$D$1)</f>
        <v>31</v>
      </c>
    </row>
    <row r="307" spans="1:3" ht="15.75">
      <c r="A307" s="349">
        <v>32</v>
      </c>
      <c r="B307" s="351" t="s">
        <v>270</v>
      </c>
      <c r="C307" s="355">
        <f>VLOOKUP(A307,Tags!$C$4:$I$80,1+'Languages Available'!$D$1)</f>
        <v>32</v>
      </c>
    </row>
    <row r="308" spans="1:3" ht="15.75">
      <c r="A308" s="349">
        <v>33</v>
      </c>
      <c r="B308" s="351" t="s">
        <v>481</v>
      </c>
      <c r="C308" s="355">
        <f>VLOOKUP(A308,Tags!$C$4:$I$80,1+'Languages Available'!$D$1)</f>
        <v>33</v>
      </c>
    </row>
    <row r="309" spans="1:3" ht="15.75">
      <c r="A309" s="349">
        <v>34</v>
      </c>
      <c r="B309" s="351" t="s">
        <v>479</v>
      </c>
      <c r="C309" s="355">
        <f>VLOOKUP(A309,Tags!$C$4:$I$80,1+'Languages Available'!$D$1)</f>
        <v>34</v>
      </c>
    </row>
    <row r="310" spans="1:3" ht="15.75">
      <c r="A310" s="349">
        <v>35</v>
      </c>
      <c r="B310" s="351" t="s">
        <v>123</v>
      </c>
      <c r="C310" s="355">
        <f>VLOOKUP(A310,Tags!$C$4:$I$80,1+'Languages Available'!$D$1)</f>
        <v>35</v>
      </c>
    </row>
    <row r="311" spans="1:3" ht="15.75">
      <c r="A311" s="349">
        <v>36</v>
      </c>
      <c r="B311" s="351" t="s">
        <v>124</v>
      </c>
      <c r="C311" s="355">
        <f>VLOOKUP(A311,Tags!$C$4:$I$80,1+'Languages Available'!$D$1)</f>
        <v>36</v>
      </c>
    </row>
    <row r="312" spans="1:3" ht="15.75">
      <c r="A312" s="349">
        <v>37</v>
      </c>
      <c r="B312" s="351" t="s">
        <v>430</v>
      </c>
      <c r="C312" s="355">
        <f>VLOOKUP(A312,Tags!$C$4:$I$80,1+'Languages Available'!$D$1)</f>
        <v>37</v>
      </c>
    </row>
    <row r="313" spans="1:3" ht="15.75">
      <c r="A313" s="349">
        <v>38</v>
      </c>
      <c r="B313" s="351" t="s">
        <v>431</v>
      </c>
      <c r="C313" s="355">
        <f>VLOOKUP(A313,Tags!$C$4:$I$80,1+'Languages Available'!$D$1)</f>
        <v>38</v>
      </c>
    </row>
    <row r="314" spans="1:3" ht="15.75">
      <c r="A314" s="349">
        <v>39</v>
      </c>
      <c r="B314" s="351" t="s">
        <v>432</v>
      </c>
      <c r="C314" s="355">
        <f>VLOOKUP(A314,Tags!$C$4:$I$80,1+'Languages Available'!$D$1)</f>
        <v>39</v>
      </c>
    </row>
    <row r="315" spans="1:3" ht="15.75">
      <c r="A315" s="349">
        <v>40</v>
      </c>
      <c r="B315" s="351" t="s">
        <v>434</v>
      </c>
      <c r="C315" s="355">
        <f>VLOOKUP(A315,Tags!$C$4:$I$80,1+'Languages Available'!$D$1)</f>
        <v>40</v>
      </c>
    </row>
    <row r="316" spans="1:3" ht="15.75">
      <c r="A316" s="349">
        <v>41</v>
      </c>
      <c r="B316" s="351" t="s">
        <v>476</v>
      </c>
      <c r="C316" s="355">
        <f>VLOOKUP(A316,Tags!$C$4:$I$80,1+'Languages Available'!$D$1)</f>
        <v>41</v>
      </c>
    </row>
    <row r="317" spans="1:3" ht="15.75">
      <c r="A317" s="349">
        <v>42</v>
      </c>
      <c r="B317" s="351" t="s">
        <v>519</v>
      </c>
      <c r="C317" s="355">
        <f>VLOOKUP(A317,Tags!$C$4:$I$80,1+'Languages Available'!$D$1)</f>
        <v>42</v>
      </c>
    </row>
    <row r="318" spans="1:3" ht="15.75">
      <c r="A318" s="349">
        <v>43</v>
      </c>
      <c r="B318" s="351" t="s">
        <v>477</v>
      </c>
      <c r="C318" s="355">
        <f>VLOOKUP(A318,Tags!$C$4:$I$80,1+'Languages Available'!$D$1)</f>
        <v>43</v>
      </c>
    </row>
    <row r="319" spans="1:3" ht="15.75">
      <c r="A319" s="349">
        <v>44</v>
      </c>
      <c r="B319" s="351" t="s">
        <v>478</v>
      </c>
      <c r="C319" s="355">
        <f>VLOOKUP(A319,Tags!$C$4:$I$80,1+'Languages Available'!$D$1)</f>
        <v>44</v>
      </c>
    </row>
    <row r="320" spans="1:3" ht="15.75">
      <c r="A320" s="349">
        <v>45</v>
      </c>
      <c r="B320" s="351" t="s">
        <v>433</v>
      </c>
      <c r="C320" s="355">
        <f>VLOOKUP(A320,Tags!$C$4:$I$80,1+'Languages Available'!$D$1)</f>
        <v>45</v>
      </c>
    </row>
    <row r="321" spans="1:3" ht="15.75">
      <c r="A321" s="349">
        <v>46</v>
      </c>
      <c r="B321" s="351" t="s">
        <v>435</v>
      </c>
      <c r="C321" s="355">
        <f>VLOOKUP(A321,Tags!$C$4:$I$80,1+'Languages Available'!$D$1)</f>
        <v>46</v>
      </c>
    </row>
    <row r="322" spans="1:3" ht="15.75">
      <c r="A322" s="349">
        <v>47</v>
      </c>
      <c r="B322" s="351" t="s">
        <v>522</v>
      </c>
      <c r="C322" s="355">
        <f>VLOOKUP(A322,Tags!$C$4:$I$80,1+'Languages Available'!$D$1)</f>
        <v>47</v>
      </c>
    </row>
    <row r="323" spans="1:3" ht="15.75">
      <c r="A323" s="349">
        <v>48</v>
      </c>
      <c r="B323" s="351" t="s">
        <v>436</v>
      </c>
      <c r="C323" s="355">
        <f>VLOOKUP(A323,Tags!$C$4:$I$80,1+'Languages Available'!$D$1)</f>
        <v>48</v>
      </c>
    </row>
    <row r="324" spans="1:3" ht="15.75">
      <c r="A324" s="349">
        <v>49</v>
      </c>
      <c r="B324" s="351" t="s">
        <v>523</v>
      </c>
      <c r="C324" s="355">
        <f>VLOOKUP(A324,Tags!$C$4:$I$80,1+'Languages Available'!$D$1)</f>
        <v>49</v>
      </c>
    </row>
    <row r="325" spans="1:3" ht="15.75">
      <c r="A325" s="349">
        <v>50</v>
      </c>
      <c r="B325" s="351" t="s">
        <v>520</v>
      </c>
      <c r="C325" s="355">
        <f>VLOOKUP(A325,Tags!$C$4:$I$80,1+'Languages Available'!$D$1)</f>
        <v>50</v>
      </c>
    </row>
    <row r="326" spans="1:3" ht="15.75">
      <c r="A326" s="349">
        <v>51</v>
      </c>
      <c r="B326" s="351" t="s">
        <v>524</v>
      </c>
      <c r="C326" s="355">
        <f>VLOOKUP(A326,Tags!$C$4:$I$80,1+'Languages Available'!$D$1)</f>
        <v>51</v>
      </c>
    </row>
    <row r="327" spans="1:3" ht="15.75">
      <c r="A327" s="349">
        <v>52</v>
      </c>
      <c r="B327" s="351" t="s">
        <v>276</v>
      </c>
      <c r="C327" s="355">
        <f>VLOOKUP(A327,Tags!$C$4:$I$80,1+'Languages Available'!$D$1)</f>
        <v>52</v>
      </c>
    </row>
    <row r="328" spans="1:3" ht="15.75">
      <c r="A328" s="349">
        <v>53</v>
      </c>
      <c r="B328" s="351" t="s">
        <v>92</v>
      </c>
      <c r="C328" s="355">
        <f>VLOOKUP(A328,Tags!$C$4:$I$80,1+'Languages Available'!$D$1)</f>
        <v>53</v>
      </c>
    </row>
    <row r="329" spans="1:3" ht="15.75">
      <c r="A329" s="349">
        <v>54</v>
      </c>
      <c r="B329" s="351" t="s">
        <v>480</v>
      </c>
      <c r="C329" s="355">
        <f>VLOOKUP(A329,Tags!$C$4:$I$80,1+'Languages Available'!$D$1)</f>
        <v>54</v>
      </c>
    </row>
    <row r="330" spans="1:3" ht="15.75">
      <c r="A330" s="349">
        <v>55</v>
      </c>
      <c r="B330" s="351" t="s">
        <v>475</v>
      </c>
      <c r="C330" s="355">
        <f>VLOOKUP(A330,Tags!$C$4:$I$80,1+'Languages Available'!$D$1)</f>
        <v>55</v>
      </c>
    </row>
    <row r="331" spans="1:3" ht="15.75">
      <c r="A331" s="349">
        <v>56</v>
      </c>
      <c r="B331" s="351" t="s">
        <v>4</v>
      </c>
      <c r="C331" s="355">
        <f>VLOOKUP(A331,Tags!$C$4:$I$80,1+'Languages Available'!$D$1)</f>
        <v>56</v>
      </c>
    </row>
    <row r="332" spans="1:3" ht="15.75">
      <c r="A332" s="349">
        <v>57</v>
      </c>
      <c r="B332" s="351" t="s">
        <v>1345</v>
      </c>
      <c r="C332" s="355">
        <f>VLOOKUP(A332,Tags!$C$4:$I$80,1+'Languages Available'!$D$1)</f>
        <v>57</v>
      </c>
    </row>
    <row r="333" spans="1:3" ht="15.75">
      <c r="A333" s="349">
        <v>58</v>
      </c>
      <c r="B333" s="351" t="s">
        <v>1354</v>
      </c>
      <c r="C333" s="355">
        <f>VLOOKUP(A333,Tags!$C$4:$I$80,1+'Languages Available'!$D$1)</f>
        <v>58</v>
      </c>
    </row>
    <row r="334" spans="1:3" ht="31.5">
      <c r="A334" s="349">
        <v>59</v>
      </c>
      <c r="B334" s="351" t="s">
        <v>1352</v>
      </c>
      <c r="C334" s="355">
        <f>VLOOKUP(A334,Tags!$C$4:$I$80,1+'Languages Available'!$D$1)</f>
        <v>59</v>
      </c>
    </row>
    <row r="335" spans="1:3" ht="15.75">
      <c r="A335" s="349">
        <v>60</v>
      </c>
      <c r="B335" s="351" t="s">
        <v>1350</v>
      </c>
      <c r="C335" s="355">
        <f>VLOOKUP(A335,Tags!$C$4:$I$80,1+'Languages Available'!$D$1)</f>
        <v>60</v>
      </c>
    </row>
    <row r="336" spans="1:3" ht="15.75">
      <c r="A336" s="349">
        <v>61</v>
      </c>
      <c r="B336" s="351" t="s">
        <v>1351</v>
      </c>
      <c r="C336" s="355">
        <f>VLOOKUP(A336,Tags!$C$4:$I$80,1+'Languages Available'!$D$1)</f>
        <v>61</v>
      </c>
    </row>
    <row r="337" spans="1:3" ht="15.75">
      <c r="A337" s="349">
        <v>62</v>
      </c>
      <c r="B337" s="351" t="s">
        <v>1353</v>
      </c>
      <c r="C337" s="355">
        <f>VLOOKUP(A337,Tags!$C$4:$I$80,1+'Languages Available'!$D$1)</f>
        <v>62</v>
      </c>
    </row>
    <row r="338" spans="1:3" ht="15.75">
      <c r="A338" s="349">
        <v>63</v>
      </c>
      <c r="B338" s="351" t="s">
        <v>2699</v>
      </c>
      <c r="C338" s="355">
        <f>VLOOKUP(A338,Tags!$C$4:$I$80,1+'Languages Available'!$D$1)</f>
        <v>63</v>
      </c>
    </row>
    <row r="339" spans="1:3" ht="15.75">
      <c r="A339" s="349">
        <v>64</v>
      </c>
      <c r="B339" s="351" t="s">
        <v>1356</v>
      </c>
      <c r="C339" s="355">
        <f>VLOOKUP(A339,Tags!$C$4:$I$80,1+'Languages Available'!$D$1)</f>
        <v>64</v>
      </c>
    </row>
    <row r="340" spans="1:3" ht="31.5">
      <c r="A340" s="349">
        <v>65</v>
      </c>
      <c r="B340" s="351" t="s">
        <v>1787</v>
      </c>
      <c r="C340" s="355">
        <f>VLOOKUP(A340,Tags!$C$4:$I$80,1+'Languages Available'!$D$1)</f>
        <v>65</v>
      </c>
    </row>
    <row r="341" spans="1:3" ht="15.75">
      <c r="A341" s="349">
        <v>66</v>
      </c>
      <c r="B341" s="351" t="s">
        <v>1861</v>
      </c>
      <c r="C341" s="355">
        <f>VLOOKUP(A341,Tags!$C$4:$I$80,1+'Languages Available'!$D$1)</f>
        <v>66</v>
      </c>
    </row>
    <row r="342" spans="1:3" ht="15.75">
      <c r="A342" s="349">
        <v>67</v>
      </c>
      <c r="B342" s="351" t="s">
        <v>1818</v>
      </c>
      <c r="C342" s="355">
        <f>VLOOKUP(A342,Tags!$C$4:$I$80,1+'Languages Available'!$D$1)</f>
        <v>67</v>
      </c>
    </row>
    <row r="343" spans="1:3" ht="15.75">
      <c r="A343" s="349">
        <v>68</v>
      </c>
      <c r="B343" s="351" t="s">
        <v>1819</v>
      </c>
      <c r="C343" s="355">
        <f>VLOOKUP(A343,Tags!$C$4:$I$80,1+'Languages Available'!$D$1)</f>
        <v>68</v>
      </c>
    </row>
    <row r="344" spans="1:3" ht="31.5">
      <c r="A344" s="349">
        <v>69</v>
      </c>
      <c r="B344" s="351" t="s">
        <v>2777</v>
      </c>
      <c r="C344" s="355">
        <f>VLOOKUP(A344,Tags!$C$4:$I$80,1+'Languages Available'!$D$1)</f>
        <v>69</v>
      </c>
    </row>
    <row r="345" spans="1:3">
      <c r="A345" s="347">
        <v>70</v>
      </c>
      <c r="B345" s="292" t="s">
        <v>1788</v>
      </c>
      <c r="C345" s="355">
        <f>VLOOKUP(A345,Tags!$C$4:$I$80,1+'Languages Available'!$D$1)</f>
        <v>70</v>
      </c>
    </row>
    <row r="346" spans="1:3">
      <c r="A346" s="347">
        <v>71</v>
      </c>
      <c r="B346" s="292" t="s">
        <v>2709</v>
      </c>
      <c r="C346" s="355">
        <f>VLOOKUP(A346,Tags!$C$4:$I$80,1+'Languages Available'!$D$1)</f>
        <v>71</v>
      </c>
    </row>
    <row r="347" spans="1:3">
      <c r="A347" s="347">
        <v>72</v>
      </c>
      <c r="B347" s="292" t="s">
        <v>1778</v>
      </c>
      <c r="C347" s="355">
        <f>VLOOKUP(A347,Tags!$C$4:$I$80,1+'Languages Available'!$D$1)</f>
        <v>72</v>
      </c>
    </row>
    <row r="348" spans="1:3">
      <c r="A348" s="347">
        <v>73</v>
      </c>
      <c r="B348" s="292" t="s">
        <v>2714</v>
      </c>
      <c r="C348" s="355">
        <f>VLOOKUP(A348,Tags!$C$4:$I$80,1+'Languages Available'!$D$1)</f>
        <v>73</v>
      </c>
    </row>
    <row r="349" spans="1:3">
      <c r="A349" s="347">
        <v>74</v>
      </c>
      <c r="B349" s="292" t="s">
        <v>1786</v>
      </c>
      <c r="C349" s="355">
        <f>VLOOKUP(A349,Tags!$C$4:$I$80,1+'Languages Available'!$D$1)</f>
        <v>74</v>
      </c>
    </row>
    <row r="350" spans="1:3">
      <c r="A350" s="347">
        <v>75</v>
      </c>
      <c r="B350" s="292" t="s">
        <v>1774</v>
      </c>
      <c r="C350" s="355">
        <f>VLOOKUP(A350,Tags!$C$4:$I$80,1+'Languages Available'!$D$1)</f>
        <v>75</v>
      </c>
    </row>
    <row r="351" spans="1:3">
      <c r="A351" s="347">
        <v>76</v>
      </c>
      <c r="B351" s="292" t="s">
        <v>1773</v>
      </c>
      <c r="C351" s="355">
        <f>VLOOKUP(A351,Tags!$C$4:$I$80,1+'Languages Available'!$D$1)</f>
        <v>76</v>
      </c>
    </row>
    <row r="353" spans="1:3" ht="21">
      <c r="A353" s="262"/>
      <c r="B353" s="194" t="s">
        <v>2780</v>
      </c>
      <c r="C353" s="194" t="s">
        <v>2780</v>
      </c>
    </row>
    <row r="354" spans="1:3">
      <c r="A354" s="334">
        <v>1</v>
      </c>
      <c r="B354" s="267" t="s">
        <v>456</v>
      </c>
      <c r="C354" s="355">
        <f>VLOOKUP(A354,Options!$C$4:$I$235,1+'Languages Available'!$D$1)</f>
        <v>1</v>
      </c>
    </row>
    <row r="355" spans="1:3">
      <c r="A355" s="334">
        <f>+A354+1</f>
        <v>2</v>
      </c>
      <c r="B355" s="263" t="s">
        <v>457</v>
      </c>
      <c r="C355" s="355">
        <f>VLOOKUP(A355,Options!$C$4:$I$235,1+'Languages Available'!$D$1)</f>
        <v>2</v>
      </c>
    </row>
    <row r="356" spans="1:3">
      <c r="A356" s="334">
        <f t="shared" ref="A356:A419" si="5">+A355+1</f>
        <v>3</v>
      </c>
      <c r="B356" s="263" t="s">
        <v>458</v>
      </c>
      <c r="C356" s="355">
        <f>VLOOKUP(A356,Options!$C$4:$I$235,1+'Languages Available'!$D$1)</f>
        <v>3</v>
      </c>
    </row>
    <row r="357" spans="1:3">
      <c r="A357" s="334">
        <f t="shared" si="5"/>
        <v>4</v>
      </c>
      <c r="B357" s="263"/>
      <c r="C357" s="355"/>
    </row>
    <row r="358" spans="1:3">
      <c r="A358" s="334">
        <f t="shared" si="5"/>
        <v>5</v>
      </c>
      <c r="B358" s="263" t="s">
        <v>459</v>
      </c>
      <c r="C358" s="355">
        <f>VLOOKUP(A358,Options!$C$4:$I$235,1+'Languages Available'!$D$1)</f>
        <v>5</v>
      </c>
    </row>
    <row r="359" spans="1:3">
      <c r="A359" s="334">
        <f t="shared" si="5"/>
        <v>6</v>
      </c>
      <c r="B359" s="263" t="s">
        <v>460</v>
      </c>
      <c r="C359" s="355">
        <f>VLOOKUP(A359,Options!$C$4:$I$235,1+'Languages Available'!$D$1)</f>
        <v>6</v>
      </c>
    </row>
    <row r="360" spans="1:3">
      <c r="A360" s="334">
        <f t="shared" si="5"/>
        <v>7</v>
      </c>
      <c r="B360" s="263" t="s">
        <v>461</v>
      </c>
      <c r="C360" s="355">
        <f>VLOOKUP(A360,Options!$C$4:$I$235,1+'Languages Available'!$D$1)</f>
        <v>7</v>
      </c>
    </row>
    <row r="361" spans="1:3">
      <c r="A361" s="334">
        <f t="shared" si="5"/>
        <v>8</v>
      </c>
      <c r="B361" s="263" t="s">
        <v>462</v>
      </c>
      <c r="C361" s="355">
        <f>VLOOKUP(A361,Options!$C$4:$I$235,1+'Languages Available'!$D$1)</f>
        <v>8</v>
      </c>
    </row>
    <row r="362" spans="1:3">
      <c r="A362" s="334">
        <f t="shared" si="5"/>
        <v>9</v>
      </c>
      <c r="B362" s="263" t="s">
        <v>463</v>
      </c>
      <c r="C362" s="355">
        <f>VLOOKUP(A362,Options!$C$4:$I$235,1+'Languages Available'!$D$1)</f>
        <v>9</v>
      </c>
    </row>
    <row r="363" spans="1:3">
      <c r="A363" s="334">
        <f t="shared" si="5"/>
        <v>10</v>
      </c>
      <c r="B363" s="263"/>
      <c r="C363" s="355"/>
    </row>
    <row r="364" spans="1:3">
      <c r="A364" s="334">
        <f t="shared" si="5"/>
        <v>11</v>
      </c>
      <c r="B364" s="263" t="s">
        <v>464</v>
      </c>
      <c r="C364" s="355">
        <f>VLOOKUP(A364,Options!$C$4:$I$235,1+'Languages Available'!$D$1)</f>
        <v>11</v>
      </c>
    </row>
    <row r="365" spans="1:3">
      <c r="A365" s="334">
        <f t="shared" si="5"/>
        <v>12</v>
      </c>
      <c r="B365" s="263" t="s">
        <v>466</v>
      </c>
      <c r="C365" s="355">
        <f>VLOOKUP(A365,Options!$C$4:$I$235,1+'Languages Available'!$D$1)</f>
        <v>12</v>
      </c>
    </row>
    <row r="366" spans="1:3">
      <c r="A366" s="334">
        <f t="shared" si="5"/>
        <v>13</v>
      </c>
      <c r="B366" s="263" t="s">
        <v>467</v>
      </c>
      <c r="C366" s="355">
        <f>VLOOKUP(A366,Options!$C$4:$I$235,1+'Languages Available'!$D$1)</f>
        <v>13</v>
      </c>
    </row>
    <row r="367" spans="1:3">
      <c r="A367" s="334">
        <f t="shared" si="5"/>
        <v>14</v>
      </c>
      <c r="B367" s="263" t="s">
        <v>468</v>
      </c>
      <c r="C367" s="355">
        <f>VLOOKUP(A367,Options!$C$4:$I$235,1+'Languages Available'!$D$1)</f>
        <v>14</v>
      </c>
    </row>
    <row r="368" spans="1:3">
      <c r="A368" s="334">
        <f t="shared" si="5"/>
        <v>15</v>
      </c>
      <c r="B368" s="263" t="s">
        <v>465</v>
      </c>
      <c r="C368" s="355">
        <f>VLOOKUP(A368,Options!$C$4:$I$235,1+'Languages Available'!$D$1)</f>
        <v>15</v>
      </c>
    </row>
    <row r="369" spans="1:3">
      <c r="A369" s="334">
        <f t="shared" si="5"/>
        <v>16</v>
      </c>
      <c r="B369" s="263"/>
      <c r="C369" s="355"/>
    </row>
    <row r="370" spans="1:3">
      <c r="A370" s="334">
        <f t="shared" si="5"/>
        <v>17</v>
      </c>
      <c r="B370" s="263" t="s">
        <v>115</v>
      </c>
      <c r="C370" s="355">
        <f>VLOOKUP(A370,Options!$C$4:$I$235,1+'Languages Available'!$D$1)</f>
        <v>17</v>
      </c>
    </row>
    <row r="371" spans="1:3">
      <c r="A371" s="334">
        <f t="shared" si="5"/>
        <v>18</v>
      </c>
      <c r="B371" s="263" t="s">
        <v>116</v>
      </c>
      <c r="C371" s="355">
        <f>VLOOKUP(A371,Options!$C$4:$I$235,1+'Languages Available'!$D$1)</f>
        <v>18</v>
      </c>
    </row>
    <row r="372" spans="1:3">
      <c r="A372" s="334">
        <f t="shared" si="5"/>
        <v>19</v>
      </c>
      <c r="B372" s="263"/>
      <c r="C372" s="355"/>
    </row>
    <row r="373" spans="1:3">
      <c r="A373" s="334">
        <f t="shared" si="5"/>
        <v>20</v>
      </c>
      <c r="B373" s="263" t="s">
        <v>130</v>
      </c>
      <c r="C373" s="355">
        <f>VLOOKUP(A373,Options!$C$4:$I$235,1+'Languages Available'!$D$1)</f>
        <v>20</v>
      </c>
    </row>
    <row r="374" spans="1:3">
      <c r="A374" s="334">
        <f t="shared" si="5"/>
        <v>21</v>
      </c>
      <c r="B374" s="263" t="s">
        <v>131</v>
      </c>
      <c r="C374" s="355">
        <f>VLOOKUP(A374,Options!$C$4:$I$235,1+'Languages Available'!$D$1)</f>
        <v>21</v>
      </c>
    </row>
    <row r="375" spans="1:3">
      <c r="A375" s="334">
        <f t="shared" si="5"/>
        <v>22</v>
      </c>
      <c r="B375" s="263" t="s">
        <v>211</v>
      </c>
      <c r="C375" s="355">
        <f>VLOOKUP(A375,Options!$C$4:$I$235,1+'Languages Available'!$D$1)</f>
        <v>22</v>
      </c>
    </row>
    <row r="376" spans="1:3">
      <c r="A376" s="334">
        <f t="shared" si="5"/>
        <v>23</v>
      </c>
      <c r="B376" s="263" t="s">
        <v>213</v>
      </c>
      <c r="C376" s="355">
        <f>VLOOKUP(A376,Options!$C$4:$I$235,1+'Languages Available'!$D$1)</f>
        <v>23</v>
      </c>
    </row>
    <row r="377" spans="1:3">
      <c r="A377" s="334">
        <f t="shared" si="5"/>
        <v>24</v>
      </c>
      <c r="B377" s="263" t="s">
        <v>214</v>
      </c>
      <c r="C377" s="355">
        <f>VLOOKUP(A377,Options!$C$4:$I$235,1+'Languages Available'!$D$1)</f>
        <v>24</v>
      </c>
    </row>
    <row r="378" spans="1:3">
      <c r="A378" s="334">
        <f t="shared" si="5"/>
        <v>25</v>
      </c>
      <c r="B378" s="263" t="s">
        <v>215</v>
      </c>
      <c r="C378" s="355">
        <f>VLOOKUP(A378,Options!$C$4:$I$235,1+'Languages Available'!$D$1)</f>
        <v>25</v>
      </c>
    </row>
    <row r="379" spans="1:3">
      <c r="A379" s="334">
        <f t="shared" si="5"/>
        <v>26</v>
      </c>
      <c r="B379" s="263"/>
      <c r="C379" s="355"/>
    </row>
    <row r="380" spans="1:3">
      <c r="A380" s="334">
        <f t="shared" si="5"/>
        <v>27</v>
      </c>
      <c r="B380" s="263" t="s">
        <v>217</v>
      </c>
      <c r="C380" s="355">
        <f>VLOOKUP(A380,Options!$C$4:$I$235,1+'Languages Available'!$D$1)</f>
        <v>27</v>
      </c>
    </row>
    <row r="381" spans="1:3">
      <c r="A381" s="334">
        <f t="shared" si="5"/>
        <v>28</v>
      </c>
      <c r="B381" s="263" t="s">
        <v>218</v>
      </c>
      <c r="C381" s="355">
        <f>VLOOKUP(A381,Options!$C$4:$I$235,1+'Languages Available'!$D$1)</f>
        <v>28</v>
      </c>
    </row>
    <row r="382" spans="1:3">
      <c r="A382" s="334">
        <f t="shared" si="5"/>
        <v>29</v>
      </c>
      <c r="B382" s="263" t="s">
        <v>216</v>
      </c>
      <c r="C382" s="355">
        <f>VLOOKUP(A382,Options!$C$4:$I$235,1+'Languages Available'!$D$1)</f>
        <v>29</v>
      </c>
    </row>
    <row r="383" spans="1:3">
      <c r="A383" s="334">
        <f t="shared" si="5"/>
        <v>30</v>
      </c>
      <c r="B383" s="263"/>
      <c r="C383" s="355"/>
    </row>
    <row r="384" spans="1:3">
      <c r="A384" s="334">
        <f t="shared" si="5"/>
        <v>31</v>
      </c>
      <c r="B384" s="263" t="s">
        <v>219</v>
      </c>
      <c r="C384" s="355">
        <f>VLOOKUP(A384,Options!$C$4:$I$235,1+'Languages Available'!$D$1)</f>
        <v>31</v>
      </c>
    </row>
    <row r="385" spans="1:3">
      <c r="A385" s="334">
        <f t="shared" si="5"/>
        <v>32</v>
      </c>
      <c r="B385" s="263" t="s">
        <v>220</v>
      </c>
      <c r="C385" s="355">
        <f>VLOOKUP(A385,Options!$C$4:$I$235,1+'Languages Available'!$D$1)</f>
        <v>32</v>
      </c>
    </row>
    <row r="386" spans="1:3">
      <c r="A386" s="334">
        <f t="shared" si="5"/>
        <v>33</v>
      </c>
      <c r="B386" s="263" t="s">
        <v>221</v>
      </c>
      <c r="C386" s="355">
        <f>VLOOKUP(A386,Options!$C$4:$I$235,1+'Languages Available'!$D$1)</f>
        <v>33</v>
      </c>
    </row>
    <row r="387" spans="1:3">
      <c r="A387" s="334">
        <f t="shared" si="5"/>
        <v>34</v>
      </c>
      <c r="B387" s="263"/>
      <c r="C387" s="355"/>
    </row>
    <row r="388" spans="1:3">
      <c r="A388" s="334">
        <f t="shared" si="5"/>
        <v>35</v>
      </c>
      <c r="B388" s="263" t="s">
        <v>223</v>
      </c>
      <c r="C388" s="355">
        <f>VLOOKUP(A388,Options!$C$4:$I$235,1+'Languages Available'!$D$1)</f>
        <v>35</v>
      </c>
    </row>
    <row r="389" spans="1:3">
      <c r="A389" s="334">
        <f t="shared" si="5"/>
        <v>36</v>
      </c>
      <c r="B389" s="263" t="s">
        <v>224</v>
      </c>
      <c r="C389" s="355">
        <f>VLOOKUP(A389,Options!$C$4:$I$235,1+'Languages Available'!$D$1)</f>
        <v>36</v>
      </c>
    </row>
    <row r="390" spans="1:3">
      <c r="A390" s="334">
        <f t="shared" si="5"/>
        <v>37</v>
      </c>
      <c r="B390" s="263"/>
      <c r="C390" s="355"/>
    </row>
    <row r="391" spans="1:3">
      <c r="A391" s="334">
        <f t="shared" si="5"/>
        <v>38</v>
      </c>
      <c r="B391" s="263" t="s">
        <v>225</v>
      </c>
      <c r="C391" s="355">
        <f>VLOOKUP(A391,Options!$C$4:$I$235,1+'Languages Available'!$D$1)</f>
        <v>38</v>
      </c>
    </row>
    <row r="392" spans="1:3">
      <c r="A392" s="334">
        <f t="shared" si="5"/>
        <v>39</v>
      </c>
      <c r="B392" s="263" t="s">
        <v>226</v>
      </c>
      <c r="C392" s="355">
        <f>VLOOKUP(A392,Options!$C$4:$I$235,1+'Languages Available'!$D$1)</f>
        <v>39</v>
      </c>
    </row>
    <row r="393" spans="1:3">
      <c r="A393" s="334">
        <f t="shared" si="5"/>
        <v>40</v>
      </c>
      <c r="B393" s="263" t="s">
        <v>227</v>
      </c>
      <c r="C393" s="355">
        <f>VLOOKUP(A393,Options!$C$4:$I$235,1+'Languages Available'!$D$1)</f>
        <v>40</v>
      </c>
    </row>
    <row r="394" spans="1:3">
      <c r="A394" s="334">
        <f t="shared" si="5"/>
        <v>41</v>
      </c>
      <c r="B394" s="263"/>
      <c r="C394" s="355"/>
    </row>
    <row r="395" spans="1:3">
      <c r="A395" s="334">
        <f t="shared" si="5"/>
        <v>42</v>
      </c>
      <c r="B395" s="263" t="s">
        <v>228</v>
      </c>
      <c r="C395" s="355">
        <f>VLOOKUP(A395,Options!$C$4:$I$235,1+'Languages Available'!$D$1)</f>
        <v>42</v>
      </c>
    </row>
    <row r="396" spans="1:3">
      <c r="A396" s="334">
        <f t="shared" si="5"/>
        <v>43</v>
      </c>
      <c r="B396" s="263" t="s">
        <v>229</v>
      </c>
      <c r="C396" s="355">
        <f>VLOOKUP(A396,Options!$C$4:$I$235,1+'Languages Available'!$D$1)</f>
        <v>43</v>
      </c>
    </row>
    <row r="397" spans="1:3">
      <c r="A397" s="334">
        <f t="shared" si="5"/>
        <v>44</v>
      </c>
      <c r="B397" s="263" t="s">
        <v>230</v>
      </c>
      <c r="C397" s="355">
        <f>VLOOKUP(A397,Options!$C$4:$I$235,1+'Languages Available'!$D$1)</f>
        <v>44</v>
      </c>
    </row>
    <row r="398" spans="1:3">
      <c r="A398" s="334">
        <f t="shared" si="5"/>
        <v>45</v>
      </c>
      <c r="B398" s="263" t="s">
        <v>231</v>
      </c>
      <c r="C398" s="355">
        <f>VLOOKUP(A398,Options!$C$4:$I$235,1+'Languages Available'!$D$1)</f>
        <v>45</v>
      </c>
    </row>
    <row r="399" spans="1:3">
      <c r="A399" s="334">
        <f t="shared" si="5"/>
        <v>46</v>
      </c>
      <c r="B399" s="263"/>
      <c r="C399" s="355"/>
    </row>
    <row r="400" spans="1:3">
      <c r="A400" s="334">
        <f t="shared" si="5"/>
        <v>47</v>
      </c>
      <c r="B400" s="263" t="s">
        <v>149</v>
      </c>
      <c r="C400" s="355">
        <f>VLOOKUP(A400,Options!$C$4:$I$235,1+'Languages Available'!$D$1)</f>
        <v>47</v>
      </c>
    </row>
    <row r="401" spans="1:3">
      <c r="A401" s="334">
        <f t="shared" si="5"/>
        <v>48</v>
      </c>
      <c r="B401" s="263" t="s">
        <v>150</v>
      </c>
      <c r="C401" s="355">
        <f>VLOOKUP(A401,Options!$C$4:$I$235,1+'Languages Available'!$D$1)</f>
        <v>48</v>
      </c>
    </row>
    <row r="402" spans="1:3">
      <c r="A402" s="334">
        <f t="shared" si="5"/>
        <v>49</v>
      </c>
      <c r="B402" s="263" t="s">
        <v>151</v>
      </c>
      <c r="C402" s="355">
        <f>VLOOKUP(A402,Options!$C$4:$I$235,1+'Languages Available'!$D$1)</f>
        <v>49</v>
      </c>
    </row>
    <row r="403" spans="1:3">
      <c r="A403" s="334">
        <f t="shared" si="5"/>
        <v>50</v>
      </c>
      <c r="B403" s="263"/>
      <c r="C403" s="355"/>
    </row>
    <row r="404" spans="1:3">
      <c r="A404" s="334">
        <f t="shared" si="5"/>
        <v>51</v>
      </c>
      <c r="B404" s="263" t="s">
        <v>234</v>
      </c>
      <c r="C404" s="355">
        <f>VLOOKUP(A404,Options!$C$4:$I$235,1+'Languages Available'!$D$1)</f>
        <v>51</v>
      </c>
    </row>
    <row r="405" spans="1:3">
      <c r="A405" s="334">
        <f t="shared" si="5"/>
        <v>52</v>
      </c>
      <c r="B405" s="263" t="s">
        <v>233</v>
      </c>
      <c r="C405" s="355">
        <f>VLOOKUP(A405,Options!$C$4:$I$235,1+'Languages Available'!$D$1)</f>
        <v>52</v>
      </c>
    </row>
    <row r="406" spans="1:3">
      <c r="A406" s="334">
        <f t="shared" si="5"/>
        <v>53</v>
      </c>
      <c r="B406" s="263"/>
      <c r="C406" s="355">
        <f>VLOOKUP(A406,Options!$C$4:$I$235,1+'Languages Available'!$D$1)</f>
        <v>53</v>
      </c>
    </row>
    <row r="407" spans="1:3">
      <c r="A407" s="334">
        <f t="shared" si="5"/>
        <v>54</v>
      </c>
      <c r="B407" s="263" t="s">
        <v>238</v>
      </c>
      <c r="C407" s="355">
        <f>VLOOKUP(A407,Options!$C$4:$I$235,1+'Languages Available'!$D$1)</f>
        <v>54</v>
      </c>
    </row>
    <row r="408" spans="1:3">
      <c r="A408" s="334">
        <f t="shared" si="5"/>
        <v>55</v>
      </c>
      <c r="B408" s="263" t="s">
        <v>239</v>
      </c>
      <c r="C408" s="355">
        <f>VLOOKUP(A408,Options!$C$4:$I$235,1+'Languages Available'!$D$1)</f>
        <v>55</v>
      </c>
    </row>
    <row r="409" spans="1:3">
      <c r="A409" s="334">
        <f t="shared" si="5"/>
        <v>56</v>
      </c>
      <c r="B409" s="263" t="s">
        <v>240</v>
      </c>
      <c r="C409" s="355">
        <f>VLOOKUP(A409,Options!$C$4:$I$235,1+'Languages Available'!$D$1)</f>
        <v>56</v>
      </c>
    </row>
    <row r="410" spans="1:3">
      <c r="A410" s="334">
        <f t="shared" si="5"/>
        <v>57</v>
      </c>
      <c r="B410" s="263" t="s">
        <v>241</v>
      </c>
      <c r="C410" s="355">
        <f>VLOOKUP(A410,Options!$C$4:$I$235,1+'Languages Available'!$D$1)</f>
        <v>57</v>
      </c>
    </row>
    <row r="411" spans="1:3">
      <c r="A411" s="334">
        <f t="shared" si="5"/>
        <v>58</v>
      </c>
      <c r="B411" s="263" t="s">
        <v>242</v>
      </c>
      <c r="C411" s="355">
        <f>VLOOKUP(A411,Options!$C$4:$I$235,1+'Languages Available'!$D$1)</f>
        <v>58</v>
      </c>
    </row>
    <row r="412" spans="1:3">
      <c r="A412" s="334">
        <f t="shared" si="5"/>
        <v>59</v>
      </c>
      <c r="B412" s="263" t="s">
        <v>243</v>
      </c>
      <c r="C412" s="355">
        <f>VLOOKUP(A412,Options!$C$4:$I$235,1+'Languages Available'!$D$1)</f>
        <v>59</v>
      </c>
    </row>
    <row r="413" spans="1:3">
      <c r="A413" s="334">
        <f t="shared" si="5"/>
        <v>60</v>
      </c>
      <c r="B413" s="263"/>
      <c r="C413" s="355"/>
    </row>
    <row r="414" spans="1:3">
      <c r="A414" s="334">
        <f t="shared" si="5"/>
        <v>61</v>
      </c>
      <c r="B414" s="263" t="s">
        <v>244</v>
      </c>
      <c r="C414" s="355">
        <f>VLOOKUP(A414,Options!$C$4:$I$235,1+'Languages Available'!$D$1)</f>
        <v>61</v>
      </c>
    </row>
    <row r="415" spans="1:3">
      <c r="A415" s="334">
        <f t="shared" si="5"/>
        <v>62</v>
      </c>
      <c r="B415" s="263" t="s">
        <v>245</v>
      </c>
      <c r="C415" s="355">
        <f>VLOOKUP(A415,Options!$C$4:$I$235,1+'Languages Available'!$D$1)</f>
        <v>62</v>
      </c>
    </row>
    <row r="416" spans="1:3">
      <c r="A416" s="334">
        <f t="shared" si="5"/>
        <v>63</v>
      </c>
      <c r="B416" s="263" t="s">
        <v>246</v>
      </c>
      <c r="C416" s="355">
        <f>VLOOKUP(A416,Options!$C$4:$I$235,1+'Languages Available'!$D$1)</f>
        <v>63</v>
      </c>
    </row>
    <row r="417" spans="1:3">
      <c r="A417" s="334">
        <f t="shared" si="5"/>
        <v>64</v>
      </c>
      <c r="B417" s="263" t="s">
        <v>247</v>
      </c>
      <c r="C417" s="355">
        <f>VLOOKUP(A417,Options!$C$4:$I$235,1+'Languages Available'!$D$1)</f>
        <v>64</v>
      </c>
    </row>
    <row r="418" spans="1:3">
      <c r="A418" s="334">
        <f t="shared" si="5"/>
        <v>65</v>
      </c>
      <c r="B418" s="263"/>
      <c r="C418" s="355"/>
    </row>
    <row r="419" spans="1:3">
      <c r="A419" s="334">
        <f t="shared" si="5"/>
        <v>66</v>
      </c>
      <c r="B419" s="263" t="s">
        <v>163</v>
      </c>
      <c r="C419" s="355">
        <f>VLOOKUP(A419,Options!$C$4:$I$235,1+'Languages Available'!$D$1)</f>
        <v>66</v>
      </c>
    </row>
    <row r="420" spans="1:3">
      <c r="A420" s="334">
        <f t="shared" ref="A420:A483" si="6">+A419+1</f>
        <v>67</v>
      </c>
      <c r="B420" s="263" t="s">
        <v>164</v>
      </c>
      <c r="C420" s="355">
        <f>VLOOKUP(A420,Options!$C$4:$I$235,1+'Languages Available'!$D$1)</f>
        <v>67</v>
      </c>
    </row>
    <row r="421" spans="1:3">
      <c r="A421" s="334">
        <f t="shared" si="6"/>
        <v>68</v>
      </c>
      <c r="B421" s="263" t="s">
        <v>165</v>
      </c>
      <c r="C421" s="355">
        <f>VLOOKUP(A421,Options!$C$4:$I$235,1+'Languages Available'!$D$1)</f>
        <v>68</v>
      </c>
    </row>
    <row r="422" spans="1:3">
      <c r="A422" s="334">
        <f t="shared" si="6"/>
        <v>69</v>
      </c>
      <c r="B422" s="263"/>
      <c r="C422" s="355"/>
    </row>
    <row r="423" spans="1:3">
      <c r="A423" s="334">
        <f t="shared" si="6"/>
        <v>70</v>
      </c>
      <c r="B423" s="263" t="s">
        <v>187</v>
      </c>
      <c r="C423" s="355">
        <f>VLOOKUP(A423,Options!$C$4:$I$235,1+'Languages Available'!$D$1)</f>
        <v>70</v>
      </c>
    </row>
    <row r="424" spans="1:3">
      <c r="A424" s="334">
        <f t="shared" si="6"/>
        <v>71</v>
      </c>
      <c r="B424" s="263" t="s">
        <v>190</v>
      </c>
      <c r="C424" s="355">
        <f>VLOOKUP(A424,Options!$C$4:$I$235,1+'Languages Available'!$D$1)</f>
        <v>71</v>
      </c>
    </row>
    <row r="425" spans="1:3">
      <c r="A425" s="334">
        <f t="shared" si="6"/>
        <v>72</v>
      </c>
      <c r="B425" s="263" t="s">
        <v>188</v>
      </c>
      <c r="C425" s="355">
        <f>VLOOKUP(A425,Options!$C$4:$I$235,1+'Languages Available'!$D$1)</f>
        <v>72</v>
      </c>
    </row>
    <row r="426" spans="1:3">
      <c r="A426" s="334">
        <f t="shared" si="6"/>
        <v>73</v>
      </c>
      <c r="B426" s="263" t="s">
        <v>189</v>
      </c>
      <c r="C426" s="355">
        <f>VLOOKUP(A426,Options!$C$4:$I$235,1+'Languages Available'!$D$1)</f>
        <v>73</v>
      </c>
    </row>
    <row r="427" spans="1:3">
      <c r="A427" s="334">
        <f t="shared" si="6"/>
        <v>74</v>
      </c>
      <c r="B427" s="263"/>
      <c r="C427" s="355"/>
    </row>
    <row r="428" spans="1:3">
      <c r="A428" s="334">
        <f t="shared" si="6"/>
        <v>75</v>
      </c>
      <c r="B428" s="263" t="s">
        <v>191</v>
      </c>
      <c r="C428" s="355">
        <f>VLOOKUP(A428,Options!$C$4:$I$235,1+'Languages Available'!$D$1)</f>
        <v>75</v>
      </c>
    </row>
    <row r="429" spans="1:3">
      <c r="A429" s="334">
        <f t="shared" si="6"/>
        <v>76</v>
      </c>
      <c r="B429" s="263" t="s">
        <v>192</v>
      </c>
      <c r="C429" s="355">
        <f>VLOOKUP(A429,Options!$C$4:$I$235,1+'Languages Available'!$D$1)</f>
        <v>76</v>
      </c>
    </row>
    <row r="430" spans="1:3">
      <c r="A430" s="334">
        <f t="shared" si="6"/>
        <v>77</v>
      </c>
      <c r="B430" s="263" t="s">
        <v>131</v>
      </c>
      <c r="C430" s="355">
        <f>VLOOKUP(A430,Options!$C$4:$I$235,1+'Languages Available'!$D$1)</f>
        <v>77</v>
      </c>
    </row>
    <row r="431" spans="1:3">
      <c r="A431" s="334">
        <f t="shared" si="6"/>
        <v>78</v>
      </c>
      <c r="B431" s="263"/>
      <c r="C431" s="355"/>
    </row>
    <row r="432" spans="1:3">
      <c r="A432" s="334">
        <f t="shared" si="6"/>
        <v>79</v>
      </c>
      <c r="B432" s="263" t="s">
        <v>195</v>
      </c>
      <c r="C432" s="355">
        <f>VLOOKUP(A432,Options!$C$4:$I$235,1+'Languages Available'!$D$1)</f>
        <v>79</v>
      </c>
    </row>
    <row r="433" spans="1:3">
      <c r="A433" s="334">
        <f t="shared" si="6"/>
        <v>80</v>
      </c>
      <c r="B433" s="263" t="s">
        <v>196</v>
      </c>
      <c r="C433" s="355">
        <f>VLOOKUP(A433,Options!$C$4:$I$235,1+'Languages Available'!$D$1)</f>
        <v>80</v>
      </c>
    </row>
    <row r="434" spans="1:3">
      <c r="A434" s="334">
        <f t="shared" si="6"/>
        <v>81</v>
      </c>
      <c r="B434" s="263" t="s">
        <v>131</v>
      </c>
      <c r="C434" s="355">
        <f>VLOOKUP(A434,Options!$C$4:$I$235,1+'Languages Available'!$D$1)</f>
        <v>81</v>
      </c>
    </row>
    <row r="435" spans="1:3">
      <c r="A435" s="334">
        <f t="shared" si="6"/>
        <v>82</v>
      </c>
      <c r="B435" s="263"/>
      <c r="C435" s="355"/>
    </row>
    <row r="436" spans="1:3">
      <c r="A436" s="334">
        <f t="shared" si="6"/>
        <v>83</v>
      </c>
      <c r="B436" s="263" t="s">
        <v>201</v>
      </c>
      <c r="C436" s="355">
        <f>VLOOKUP(A436,Options!$C$4:$I$235,1+'Languages Available'!$D$1)</f>
        <v>83</v>
      </c>
    </row>
    <row r="437" spans="1:3">
      <c r="A437" s="334">
        <f t="shared" si="6"/>
        <v>84</v>
      </c>
      <c r="B437" s="263" t="s">
        <v>202</v>
      </c>
      <c r="C437" s="355">
        <f>VLOOKUP(A437,Options!$C$4:$I$235,1+'Languages Available'!$D$1)</f>
        <v>84</v>
      </c>
    </row>
    <row r="438" spans="1:3">
      <c r="A438" s="334">
        <f t="shared" si="6"/>
        <v>85</v>
      </c>
      <c r="B438" s="263"/>
      <c r="C438" s="355"/>
    </row>
    <row r="439" spans="1:3">
      <c r="A439" s="334">
        <f t="shared" si="6"/>
        <v>86</v>
      </c>
      <c r="B439" s="263" t="s">
        <v>204</v>
      </c>
      <c r="C439" s="355">
        <f>VLOOKUP(A439,Options!$C$4:$I$235,1+'Languages Available'!$D$1)</f>
        <v>86</v>
      </c>
    </row>
    <row r="440" spans="1:3">
      <c r="A440" s="334">
        <f t="shared" si="6"/>
        <v>87</v>
      </c>
      <c r="B440" s="263" t="s">
        <v>205</v>
      </c>
      <c r="C440" s="355">
        <f>VLOOKUP(A440,Options!$C$4:$I$235,1+'Languages Available'!$D$1)</f>
        <v>87</v>
      </c>
    </row>
    <row r="441" spans="1:3">
      <c r="A441" s="334">
        <f t="shared" si="6"/>
        <v>88</v>
      </c>
      <c r="B441" s="263" t="s">
        <v>206</v>
      </c>
      <c r="C441" s="355">
        <f>VLOOKUP(A441,Options!$C$4:$I$235,1+'Languages Available'!$D$1)</f>
        <v>88</v>
      </c>
    </row>
    <row r="442" spans="1:3">
      <c r="A442" s="334">
        <f t="shared" si="6"/>
        <v>89</v>
      </c>
      <c r="B442" s="263"/>
      <c r="C442" s="355"/>
    </row>
    <row r="443" spans="1:3">
      <c r="A443" s="334">
        <f t="shared" si="6"/>
        <v>90</v>
      </c>
      <c r="B443" s="263" t="s">
        <v>207</v>
      </c>
      <c r="C443" s="355">
        <f>VLOOKUP(A443,Options!$C$4:$I$235,1+'Languages Available'!$D$1)</f>
        <v>90</v>
      </c>
    </row>
    <row r="444" spans="1:3">
      <c r="A444" s="334">
        <f t="shared" si="6"/>
        <v>91</v>
      </c>
      <c r="B444" s="263" t="s">
        <v>208</v>
      </c>
      <c r="C444" s="355">
        <f>VLOOKUP(A444,Options!$C$4:$I$235,1+'Languages Available'!$D$1)</f>
        <v>91</v>
      </c>
    </row>
    <row r="445" spans="1:3">
      <c r="A445" s="334">
        <f t="shared" si="6"/>
        <v>92</v>
      </c>
      <c r="B445" s="263" t="s">
        <v>200</v>
      </c>
      <c r="C445" s="355">
        <f>VLOOKUP(A445,Options!$C$4:$I$235,1+'Languages Available'!$D$1)</f>
        <v>92</v>
      </c>
    </row>
    <row r="446" spans="1:3">
      <c r="A446" s="334">
        <f t="shared" si="6"/>
        <v>93</v>
      </c>
      <c r="B446" s="264"/>
      <c r="C446" s="355"/>
    </row>
    <row r="447" spans="1:3">
      <c r="A447" s="334">
        <f t="shared" si="6"/>
        <v>94</v>
      </c>
      <c r="B447" s="263" t="s">
        <v>257</v>
      </c>
      <c r="C447" s="355">
        <f>VLOOKUP(A447,Options!$C$4:$I$235,1+'Languages Available'!$D$1)</f>
        <v>94</v>
      </c>
    </row>
    <row r="448" spans="1:3">
      <c r="A448" s="334">
        <f t="shared" si="6"/>
        <v>95</v>
      </c>
      <c r="B448" s="263" t="s">
        <v>258</v>
      </c>
      <c r="C448" s="355">
        <f>VLOOKUP(A448,Options!$C$4:$I$235,1+'Languages Available'!$D$1)</f>
        <v>95</v>
      </c>
    </row>
    <row r="449" spans="1:3">
      <c r="A449" s="334">
        <f t="shared" si="6"/>
        <v>96</v>
      </c>
      <c r="B449" s="263"/>
      <c r="C449" s="355"/>
    </row>
    <row r="450" spans="1:3">
      <c r="A450" s="334">
        <f t="shared" si="6"/>
        <v>97</v>
      </c>
      <c r="B450" s="263" t="s">
        <v>250</v>
      </c>
      <c r="C450" s="355">
        <f>VLOOKUP(A450,Options!$C$4:$I$235,1+'Languages Available'!$D$1)</f>
        <v>97</v>
      </c>
    </row>
    <row r="451" spans="1:3">
      <c r="A451" s="334">
        <f t="shared" si="6"/>
        <v>98</v>
      </c>
      <c r="B451" s="263" t="s">
        <v>503</v>
      </c>
      <c r="C451" s="355">
        <f>VLOOKUP(A451,Options!$C$4:$I$235,1+'Languages Available'!$D$1)</f>
        <v>98</v>
      </c>
    </row>
    <row r="452" spans="1:3">
      <c r="A452" s="334">
        <f t="shared" si="6"/>
        <v>99</v>
      </c>
      <c r="B452" s="263"/>
      <c r="C452" s="355"/>
    </row>
    <row r="453" spans="1:3">
      <c r="A453" s="334">
        <f t="shared" si="6"/>
        <v>100</v>
      </c>
      <c r="B453" s="263" t="s">
        <v>251</v>
      </c>
      <c r="C453" s="355">
        <f>VLOOKUP(A453,Options!$C$4:$I$235,1+'Languages Available'!$D$1)</f>
        <v>100</v>
      </c>
    </row>
    <row r="454" spans="1:3">
      <c r="A454" s="334">
        <f t="shared" si="6"/>
        <v>101</v>
      </c>
      <c r="B454" s="263" t="s">
        <v>252</v>
      </c>
      <c r="C454" s="355">
        <f>VLOOKUP(A454,Options!$C$4:$I$235,1+'Languages Available'!$D$1)</f>
        <v>101</v>
      </c>
    </row>
    <row r="455" spans="1:3">
      <c r="A455" s="334">
        <f t="shared" si="6"/>
        <v>102</v>
      </c>
      <c r="B455" s="263"/>
      <c r="C455" s="355"/>
    </row>
    <row r="456" spans="1:3">
      <c r="A456" s="334">
        <f t="shared" si="6"/>
        <v>103</v>
      </c>
      <c r="B456" s="263" t="s">
        <v>259</v>
      </c>
      <c r="C456" s="355">
        <f>VLOOKUP(A456,Options!$C$4:$I$235,1+'Languages Available'!$D$1)</f>
        <v>103</v>
      </c>
    </row>
    <row r="457" spans="1:3">
      <c r="A457" s="334">
        <f t="shared" si="6"/>
        <v>104</v>
      </c>
      <c r="B457" s="263" t="s">
        <v>260</v>
      </c>
      <c r="C457" s="355">
        <f>VLOOKUP(A457,Options!$C$4:$I$235,1+'Languages Available'!$D$1)</f>
        <v>104</v>
      </c>
    </row>
    <row r="458" spans="1:3">
      <c r="A458" s="334">
        <f t="shared" si="6"/>
        <v>105</v>
      </c>
      <c r="B458" s="263" t="s">
        <v>261</v>
      </c>
      <c r="C458" s="355">
        <f>VLOOKUP(A458,Options!$C$4:$I$235,1+'Languages Available'!$D$1)</f>
        <v>105</v>
      </c>
    </row>
    <row r="459" spans="1:3">
      <c r="A459" s="334">
        <f t="shared" si="6"/>
        <v>106</v>
      </c>
      <c r="B459" s="263"/>
      <c r="C459" s="355"/>
    </row>
    <row r="460" spans="1:3">
      <c r="A460" s="334">
        <f t="shared" si="6"/>
        <v>107</v>
      </c>
      <c r="B460" s="263" t="s">
        <v>263</v>
      </c>
      <c r="C460" s="355">
        <f>VLOOKUP(A460,Options!$C$4:$I$235,1+'Languages Available'!$D$1)</f>
        <v>107</v>
      </c>
    </row>
    <row r="461" spans="1:3">
      <c r="A461" s="334">
        <f t="shared" si="6"/>
        <v>108</v>
      </c>
      <c r="B461" s="263" t="s">
        <v>262</v>
      </c>
      <c r="C461" s="355">
        <f>VLOOKUP(A461,Options!$C$4:$I$235,1+'Languages Available'!$D$1)</f>
        <v>108</v>
      </c>
    </row>
    <row r="462" spans="1:3">
      <c r="A462" s="334">
        <f t="shared" si="6"/>
        <v>109</v>
      </c>
      <c r="B462" s="263"/>
      <c r="C462" s="355"/>
    </row>
    <row r="463" spans="1:3">
      <c r="A463" s="334">
        <f t="shared" si="6"/>
        <v>110</v>
      </c>
      <c r="B463" s="263" t="s">
        <v>295</v>
      </c>
      <c r="C463" s="355">
        <f>VLOOKUP(A463,Options!$C$4:$I$235,1+'Languages Available'!$D$1)</f>
        <v>110</v>
      </c>
    </row>
    <row r="464" spans="1:3">
      <c r="A464" s="334">
        <f t="shared" si="6"/>
        <v>111</v>
      </c>
      <c r="B464" s="263" t="s">
        <v>296</v>
      </c>
      <c r="C464" s="355">
        <f>VLOOKUP(A464,Options!$C$4:$I$235,1+'Languages Available'!$D$1)</f>
        <v>111</v>
      </c>
    </row>
    <row r="465" spans="1:3">
      <c r="A465" s="334">
        <f t="shared" si="6"/>
        <v>112</v>
      </c>
      <c r="B465" s="263" t="s">
        <v>294</v>
      </c>
      <c r="C465" s="355">
        <f>VLOOKUP(A465,Options!$C$4:$I$235,1+'Languages Available'!$D$1)</f>
        <v>112</v>
      </c>
    </row>
    <row r="466" spans="1:3">
      <c r="A466" s="334">
        <f t="shared" si="6"/>
        <v>113</v>
      </c>
      <c r="B466" s="263"/>
      <c r="C466" s="355"/>
    </row>
    <row r="467" spans="1:3">
      <c r="A467" s="334">
        <f t="shared" si="6"/>
        <v>114</v>
      </c>
      <c r="B467" s="263" t="s">
        <v>295</v>
      </c>
      <c r="C467" s="355">
        <f>VLOOKUP(A467,Options!$C$4:$I$235,1+'Languages Available'!$D$1)</f>
        <v>114</v>
      </c>
    </row>
    <row r="468" spans="1:3">
      <c r="A468" s="334">
        <f t="shared" si="6"/>
        <v>115</v>
      </c>
      <c r="B468" s="263" t="s">
        <v>298</v>
      </c>
      <c r="C468" s="355">
        <f>VLOOKUP(A468,Options!$C$4:$I$235,1+'Languages Available'!$D$1)</f>
        <v>115</v>
      </c>
    </row>
    <row r="469" spans="1:3">
      <c r="A469" s="334">
        <f t="shared" si="6"/>
        <v>116</v>
      </c>
      <c r="B469" s="263" t="s">
        <v>297</v>
      </c>
      <c r="C469" s="355">
        <f>VLOOKUP(A469,Options!$C$4:$I$235,1+'Languages Available'!$D$1)</f>
        <v>116</v>
      </c>
    </row>
    <row r="470" spans="1:3">
      <c r="A470" s="334">
        <f t="shared" si="6"/>
        <v>117</v>
      </c>
      <c r="B470" s="263" t="s">
        <v>131</v>
      </c>
      <c r="C470" s="355">
        <f>VLOOKUP(A470,Options!$C$4:$I$235,1+'Languages Available'!$D$1)</f>
        <v>117</v>
      </c>
    </row>
    <row r="471" spans="1:3">
      <c r="A471" s="334">
        <f t="shared" si="6"/>
        <v>118</v>
      </c>
      <c r="B471" s="263"/>
      <c r="C471" s="355"/>
    </row>
    <row r="472" spans="1:3">
      <c r="A472" s="334">
        <f t="shared" si="6"/>
        <v>119</v>
      </c>
      <c r="B472" s="263" t="s">
        <v>300</v>
      </c>
      <c r="C472" s="355">
        <f>VLOOKUP(A472,Options!$C$4:$I$235,1+'Languages Available'!$D$1)</f>
        <v>119</v>
      </c>
    </row>
    <row r="473" spans="1:3">
      <c r="A473" s="334">
        <f t="shared" si="6"/>
        <v>120</v>
      </c>
      <c r="B473" s="263" t="s">
        <v>301</v>
      </c>
      <c r="C473" s="355">
        <f>VLOOKUP(A473,Options!$C$4:$I$235,1+'Languages Available'!$D$1)</f>
        <v>120</v>
      </c>
    </row>
    <row r="474" spans="1:3">
      <c r="A474" s="334">
        <f t="shared" si="6"/>
        <v>121</v>
      </c>
      <c r="B474" s="263" t="s">
        <v>303</v>
      </c>
      <c r="C474" s="355">
        <f>VLOOKUP(A474,Options!$C$4:$I$235,1+'Languages Available'!$D$1)</f>
        <v>121</v>
      </c>
    </row>
    <row r="475" spans="1:3">
      <c r="A475" s="334">
        <f t="shared" si="6"/>
        <v>122</v>
      </c>
      <c r="B475" s="263" t="s">
        <v>302</v>
      </c>
      <c r="C475" s="355">
        <f>VLOOKUP(A475,Options!$C$4:$I$235,1+'Languages Available'!$D$1)</f>
        <v>122</v>
      </c>
    </row>
    <row r="476" spans="1:3">
      <c r="A476" s="334">
        <f t="shared" si="6"/>
        <v>123</v>
      </c>
      <c r="B476" s="264"/>
      <c r="C476" s="355"/>
    </row>
    <row r="477" spans="1:3">
      <c r="A477" s="334">
        <f t="shared" si="6"/>
        <v>124</v>
      </c>
      <c r="B477" s="263" t="s">
        <v>307</v>
      </c>
      <c r="C477" s="355">
        <f>VLOOKUP(A477,Options!$C$4:$I$235,1+'Languages Available'!$D$1)</f>
        <v>124</v>
      </c>
    </row>
    <row r="478" spans="1:3">
      <c r="A478" s="334">
        <f t="shared" si="6"/>
        <v>125</v>
      </c>
      <c r="B478" s="263" t="s">
        <v>308</v>
      </c>
      <c r="C478" s="355">
        <f>VLOOKUP(A478,Options!$C$4:$I$235,1+'Languages Available'!$D$1)</f>
        <v>125</v>
      </c>
    </row>
    <row r="479" spans="1:3">
      <c r="A479" s="334">
        <f t="shared" si="6"/>
        <v>126</v>
      </c>
      <c r="B479" s="263" t="s">
        <v>305</v>
      </c>
      <c r="C479" s="355">
        <f>VLOOKUP(A479,Options!$C$4:$I$235,1+'Languages Available'!$D$1)</f>
        <v>126</v>
      </c>
    </row>
    <row r="480" spans="1:3">
      <c r="A480" s="334">
        <f t="shared" si="6"/>
        <v>127</v>
      </c>
      <c r="B480" s="263" t="s">
        <v>306</v>
      </c>
      <c r="C480" s="355">
        <f>VLOOKUP(A480,Options!$C$4:$I$235,1+'Languages Available'!$D$1)</f>
        <v>127</v>
      </c>
    </row>
    <row r="481" spans="1:3">
      <c r="A481" s="334">
        <f t="shared" si="6"/>
        <v>128</v>
      </c>
      <c r="B481" s="265"/>
      <c r="C481" s="355"/>
    </row>
    <row r="482" spans="1:3">
      <c r="A482" s="334">
        <f t="shared" si="6"/>
        <v>129</v>
      </c>
      <c r="B482" s="263" t="s">
        <v>311</v>
      </c>
      <c r="C482" s="355">
        <f>VLOOKUP(A482,Options!$C$4:$I$235,1+'Languages Available'!$D$1)</f>
        <v>129</v>
      </c>
    </row>
    <row r="483" spans="1:3">
      <c r="A483" s="334">
        <f t="shared" si="6"/>
        <v>130</v>
      </c>
      <c r="B483" s="263" t="s">
        <v>313</v>
      </c>
      <c r="C483" s="355">
        <f>VLOOKUP(A483,Options!$C$4:$I$235,1+'Languages Available'!$D$1)</f>
        <v>130</v>
      </c>
    </row>
    <row r="484" spans="1:3">
      <c r="A484" s="334">
        <f t="shared" ref="A484:A547" si="7">+A483+1</f>
        <v>131</v>
      </c>
      <c r="B484" s="263" t="s">
        <v>312</v>
      </c>
      <c r="C484" s="355">
        <f>VLOOKUP(A484,Options!$C$4:$I$235,1+'Languages Available'!$D$1)</f>
        <v>131</v>
      </c>
    </row>
    <row r="485" spans="1:3">
      <c r="A485" s="334">
        <f t="shared" si="7"/>
        <v>132</v>
      </c>
      <c r="B485" s="263"/>
      <c r="C485" s="355"/>
    </row>
    <row r="486" spans="1:3">
      <c r="A486" s="334">
        <f t="shared" si="7"/>
        <v>133</v>
      </c>
      <c r="B486" s="263" t="s">
        <v>318</v>
      </c>
      <c r="C486" s="355">
        <f>VLOOKUP(A486,Options!$C$4:$I$235,1+'Languages Available'!$D$1)</f>
        <v>133</v>
      </c>
    </row>
    <row r="487" spans="1:3">
      <c r="A487" s="334">
        <f t="shared" si="7"/>
        <v>134</v>
      </c>
      <c r="B487" s="263" t="s">
        <v>317</v>
      </c>
      <c r="C487" s="355">
        <f>VLOOKUP(A487,Options!$C$4:$I$235,1+'Languages Available'!$D$1)</f>
        <v>134</v>
      </c>
    </row>
    <row r="488" spans="1:3">
      <c r="A488" s="334">
        <f t="shared" si="7"/>
        <v>135</v>
      </c>
      <c r="B488" s="263"/>
      <c r="C488" s="355"/>
    </row>
    <row r="489" spans="1:3">
      <c r="A489" s="334">
        <f t="shared" si="7"/>
        <v>136</v>
      </c>
      <c r="B489" s="263" t="s">
        <v>149</v>
      </c>
      <c r="C489" s="355">
        <f>VLOOKUP(A489,Options!$C$4:$I$235,1+'Languages Available'!$D$1)</f>
        <v>136</v>
      </c>
    </row>
    <row r="490" spans="1:3">
      <c r="A490" s="334">
        <f t="shared" si="7"/>
        <v>137</v>
      </c>
      <c r="B490" s="263" t="s">
        <v>319</v>
      </c>
      <c r="C490" s="355">
        <f>VLOOKUP(A490,Options!$C$4:$I$235,1+'Languages Available'!$D$1)</f>
        <v>137</v>
      </c>
    </row>
    <row r="491" spans="1:3">
      <c r="A491" s="334">
        <f t="shared" si="7"/>
        <v>138</v>
      </c>
      <c r="B491" s="263" t="s">
        <v>320</v>
      </c>
      <c r="C491" s="355">
        <f>VLOOKUP(A491,Options!$C$4:$I$235,1+'Languages Available'!$D$1)</f>
        <v>138</v>
      </c>
    </row>
    <row r="492" spans="1:3">
      <c r="A492" s="334">
        <f t="shared" si="7"/>
        <v>139</v>
      </c>
      <c r="B492" s="263" t="s">
        <v>131</v>
      </c>
      <c r="C492" s="355">
        <f>VLOOKUP(A492,Options!$C$4:$I$235,1+'Languages Available'!$D$1)</f>
        <v>139</v>
      </c>
    </row>
    <row r="493" spans="1:3">
      <c r="A493" s="334">
        <f t="shared" si="7"/>
        <v>140</v>
      </c>
      <c r="B493" s="263"/>
      <c r="C493" s="355"/>
    </row>
    <row r="494" spans="1:3">
      <c r="A494" s="334">
        <f t="shared" si="7"/>
        <v>141</v>
      </c>
      <c r="B494" s="263" t="s">
        <v>324</v>
      </c>
      <c r="C494" s="355">
        <f>VLOOKUP(A494,Options!$C$4:$I$235,1+'Languages Available'!$D$1)</f>
        <v>141</v>
      </c>
    </row>
    <row r="495" spans="1:3">
      <c r="A495" s="334">
        <f t="shared" si="7"/>
        <v>142</v>
      </c>
      <c r="B495" s="263" t="s">
        <v>325</v>
      </c>
      <c r="C495" s="355">
        <f>VLOOKUP(A495,Options!$C$4:$I$235,1+'Languages Available'!$D$1)</f>
        <v>142</v>
      </c>
    </row>
    <row r="496" spans="1:3">
      <c r="A496" s="334">
        <f t="shared" si="7"/>
        <v>143</v>
      </c>
      <c r="B496" s="263" t="s">
        <v>326</v>
      </c>
      <c r="C496" s="355">
        <f>VLOOKUP(A496,Options!$C$4:$I$235,1+'Languages Available'!$D$1)</f>
        <v>143</v>
      </c>
    </row>
    <row r="497" spans="1:3">
      <c r="A497" s="334">
        <f t="shared" si="7"/>
        <v>144</v>
      </c>
      <c r="B497" s="263" t="s">
        <v>327</v>
      </c>
      <c r="C497" s="355">
        <f>VLOOKUP(A497,Options!$C$4:$I$235,1+'Languages Available'!$D$1)</f>
        <v>144</v>
      </c>
    </row>
    <row r="498" spans="1:3">
      <c r="A498" s="334">
        <f t="shared" si="7"/>
        <v>145</v>
      </c>
      <c r="B498" s="263"/>
      <c r="C498" s="355"/>
    </row>
    <row r="499" spans="1:3">
      <c r="A499" s="334">
        <f t="shared" si="7"/>
        <v>146</v>
      </c>
      <c r="B499" s="263" t="s">
        <v>149</v>
      </c>
      <c r="C499" s="355">
        <f>VLOOKUP(A499,Options!$C$4:$I$235,1+'Languages Available'!$D$1)</f>
        <v>146</v>
      </c>
    </row>
    <row r="500" spans="1:3">
      <c r="A500" s="334">
        <f t="shared" si="7"/>
        <v>147</v>
      </c>
      <c r="B500" s="263" t="s">
        <v>319</v>
      </c>
      <c r="C500" s="355">
        <f>VLOOKUP(A500,Options!$C$4:$I$235,1+'Languages Available'!$D$1)</f>
        <v>147</v>
      </c>
    </row>
    <row r="501" spans="1:3">
      <c r="A501" s="334">
        <f t="shared" si="7"/>
        <v>148</v>
      </c>
      <c r="B501" s="263" t="s">
        <v>320</v>
      </c>
      <c r="C501" s="355">
        <f>VLOOKUP(A501,Options!$C$4:$I$235,1+'Languages Available'!$D$1)</f>
        <v>148</v>
      </c>
    </row>
    <row r="502" spans="1:3">
      <c r="A502" s="334">
        <f t="shared" si="7"/>
        <v>149</v>
      </c>
      <c r="B502" s="263" t="s">
        <v>328</v>
      </c>
      <c r="C502" s="355">
        <f>VLOOKUP(A502,Options!$C$4:$I$235,1+'Languages Available'!$D$1)</f>
        <v>149</v>
      </c>
    </row>
    <row r="503" spans="1:3">
      <c r="A503" s="334">
        <f t="shared" si="7"/>
        <v>150</v>
      </c>
      <c r="B503" s="263" t="s">
        <v>329</v>
      </c>
      <c r="C503" s="355">
        <f>VLOOKUP(A503,Options!$C$4:$I$235,1+'Languages Available'!$D$1)</f>
        <v>150</v>
      </c>
    </row>
    <row r="504" spans="1:3">
      <c r="A504" s="334">
        <f t="shared" si="7"/>
        <v>151</v>
      </c>
      <c r="B504" s="263"/>
      <c r="C504" s="355"/>
    </row>
    <row r="505" spans="1:3">
      <c r="A505" s="334">
        <f t="shared" si="7"/>
        <v>152</v>
      </c>
      <c r="B505" s="263" t="s">
        <v>149</v>
      </c>
      <c r="C505" s="355">
        <f>VLOOKUP(A505,Options!$C$4:$I$235,1+'Languages Available'!$D$1)</f>
        <v>152</v>
      </c>
    </row>
    <row r="506" spans="1:3">
      <c r="A506" s="334">
        <f t="shared" si="7"/>
        <v>153</v>
      </c>
      <c r="B506" s="263" t="s">
        <v>330</v>
      </c>
      <c r="C506" s="355">
        <f>VLOOKUP(A506,Options!$C$4:$I$235,1+'Languages Available'!$D$1)</f>
        <v>153</v>
      </c>
    </row>
    <row r="507" spans="1:3">
      <c r="A507" s="334">
        <f t="shared" si="7"/>
        <v>154</v>
      </c>
      <c r="B507" s="263" t="s">
        <v>328</v>
      </c>
      <c r="C507" s="355">
        <f>VLOOKUP(A507,Options!$C$4:$I$235,1+'Languages Available'!$D$1)</f>
        <v>154</v>
      </c>
    </row>
    <row r="508" spans="1:3">
      <c r="A508" s="334">
        <f t="shared" si="7"/>
        <v>155</v>
      </c>
      <c r="B508" s="265"/>
      <c r="C508" s="355"/>
    </row>
    <row r="509" spans="1:3">
      <c r="A509" s="334">
        <f t="shared" si="7"/>
        <v>156</v>
      </c>
      <c r="B509" s="263" t="s">
        <v>333</v>
      </c>
      <c r="C509" s="355">
        <f>VLOOKUP(A509,Options!$C$4:$I$235,1+'Languages Available'!$D$1)</f>
        <v>156</v>
      </c>
    </row>
    <row r="510" spans="1:3">
      <c r="A510" s="334">
        <f t="shared" si="7"/>
        <v>157</v>
      </c>
      <c r="B510" s="263" t="s">
        <v>334</v>
      </c>
      <c r="C510" s="355">
        <f>VLOOKUP(A510,Options!$C$4:$I$235,1+'Languages Available'!$D$1)</f>
        <v>157</v>
      </c>
    </row>
    <row r="511" spans="1:3">
      <c r="A511" s="334">
        <f t="shared" si="7"/>
        <v>158</v>
      </c>
      <c r="B511" s="263" t="s">
        <v>328</v>
      </c>
      <c r="C511" s="355">
        <f>VLOOKUP(A511,Options!$C$4:$I$235,1+'Languages Available'!$D$1)</f>
        <v>158</v>
      </c>
    </row>
    <row r="512" spans="1:3">
      <c r="A512" s="334">
        <f t="shared" si="7"/>
        <v>159</v>
      </c>
      <c r="B512" s="263"/>
      <c r="C512" s="355"/>
    </row>
    <row r="513" spans="1:3">
      <c r="A513" s="334">
        <f t="shared" si="7"/>
        <v>160</v>
      </c>
      <c r="B513" s="263" t="s">
        <v>2730</v>
      </c>
      <c r="C513" s="355">
        <f>VLOOKUP(A513,Options!$C$4:$I$235,1+'Languages Available'!$D$1)</f>
        <v>160</v>
      </c>
    </row>
    <row r="514" spans="1:3">
      <c r="A514" s="334">
        <f t="shared" si="7"/>
        <v>161</v>
      </c>
      <c r="B514" s="263" t="s">
        <v>366</v>
      </c>
      <c r="C514" s="355">
        <f>VLOOKUP(A514,Options!$C$4:$I$235,1+'Languages Available'!$D$1)</f>
        <v>161</v>
      </c>
    </row>
    <row r="515" spans="1:3">
      <c r="A515" s="334">
        <f t="shared" si="7"/>
        <v>162</v>
      </c>
      <c r="B515" s="263" t="s">
        <v>2731</v>
      </c>
      <c r="C515" s="355">
        <f>VLOOKUP(A515,Options!$C$4:$I$235,1+'Languages Available'!$D$1)</f>
        <v>162</v>
      </c>
    </row>
    <row r="516" spans="1:3">
      <c r="A516" s="334">
        <f t="shared" si="7"/>
        <v>163</v>
      </c>
      <c r="B516" s="263" t="s">
        <v>2732</v>
      </c>
      <c r="C516" s="355">
        <f>VLOOKUP(A516,Options!$C$4:$I$235,1+'Languages Available'!$D$1)</f>
        <v>163</v>
      </c>
    </row>
    <row r="517" spans="1:3">
      <c r="A517" s="334">
        <f t="shared" si="7"/>
        <v>164</v>
      </c>
      <c r="B517" s="263"/>
      <c r="C517" s="355"/>
    </row>
    <row r="518" spans="1:3">
      <c r="A518" s="334">
        <f t="shared" si="7"/>
        <v>165</v>
      </c>
      <c r="B518" s="263" t="s">
        <v>362</v>
      </c>
      <c r="C518" s="355">
        <f>VLOOKUP(A518,Options!$C$4:$I$235,1+'Languages Available'!$D$1)</f>
        <v>165</v>
      </c>
    </row>
    <row r="519" spans="1:3">
      <c r="A519" s="334">
        <f t="shared" si="7"/>
        <v>166</v>
      </c>
      <c r="B519" s="263" t="s">
        <v>363</v>
      </c>
      <c r="C519" s="355">
        <f>VLOOKUP(A519,Options!$C$4:$I$235,1+'Languages Available'!$D$1)</f>
        <v>166</v>
      </c>
    </row>
    <row r="520" spans="1:3">
      <c r="A520" s="334">
        <f t="shared" si="7"/>
        <v>167</v>
      </c>
      <c r="B520" s="263" t="s">
        <v>364</v>
      </c>
      <c r="C520" s="355">
        <f>VLOOKUP(A520,Options!$C$4:$I$235,1+'Languages Available'!$D$1)</f>
        <v>167</v>
      </c>
    </row>
    <row r="521" spans="1:3">
      <c r="A521" s="334">
        <f t="shared" si="7"/>
        <v>168</v>
      </c>
      <c r="B521" s="263" t="s">
        <v>539</v>
      </c>
      <c r="C521" s="355">
        <f>VLOOKUP(A521,Options!$C$4:$I$235,1+'Languages Available'!$D$1)</f>
        <v>168</v>
      </c>
    </row>
    <row r="522" spans="1:3">
      <c r="A522" s="334">
        <f t="shared" si="7"/>
        <v>169</v>
      </c>
      <c r="B522" s="265"/>
      <c r="C522" s="355"/>
    </row>
    <row r="523" spans="1:3">
      <c r="A523" s="334">
        <f t="shared" si="7"/>
        <v>170</v>
      </c>
      <c r="B523" s="263" t="s">
        <v>366</v>
      </c>
      <c r="C523" s="355">
        <f>VLOOKUP(A523,Options!$C$4:$I$235,1+'Languages Available'!$D$1)</f>
        <v>170</v>
      </c>
    </row>
    <row r="524" spans="1:3">
      <c r="A524" s="334">
        <f t="shared" si="7"/>
        <v>171</v>
      </c>
      <c r="B524" s="263" t="s">
        <v>367</v>
      </c>
      <c r="C524" s="355">
        <f>VLOOKUP(A524,Options!$C$4:$I$235,1+'Languages Available'!$D$1)</f>
        <v>171</v>
      </c>
    </row>
    <row r="525" spans="1:3">
      <c r="A525" s="334">
        <f t="shared" si="7"/>
        <v>172</v>
      </c>
      <c r="B525" s="263" t="s">
        <v>368</v>
      </c>
      <c r="C525" s="355">
        <f>VLOOKUP(A525,Options!$C$4:$I$235,1+'Languages Available'!$D$1)</f>
        <v>172</v>
      </c>
    </row>
    <row r="526" spans="1:3">
      <c r="A526" s="334">
        <f t="shared" si="7"/>
        <v>173</v>
      </c>
      <c r="B526" s="265"/>
      <c r="C526" s="355"/>
    </row>
    <row r="527" spans="1:3">
      <c r="A527" s="334">
        <f t="shared" si="7"/>
        <v>174</v>
      </c>
      <c r="B527" s="263" t="s">
        <v>373</v>
      </c>
      <c r="C527" s="355">
        <f>VLOOKUP(A527,Options!$C$4:$I$235,1+'Languages Available'!$D$1)</f>
        <v>174</v>
      </c>
    </row>
    <row r="528" spans="1:3">
      <c r="A528" s="334">
        <f t="shared" si="7"/>
        <v>175</v>
      </c>
      <c r="B528" s="263" t="s">
        <v>374</v>
      </c>
      <c r="C528" s="355">
        <f>VLOOKUP(A528,Options!$C$4:$I$235,1+'Languages Available'!$D$1)</f>
        <v>175</v>
      </c>
    </row>
    <row r="529" spans="1:3">
      <c r="A529" s="334">
        <f t="shared" si="7"/>
        <v>176</v>
      </c>
      <c r="B529" s="263"/>
      <c r="C529" s="355"/>
    </row>
    <row r="530" spans="1:3">
      <c r="A530" s="334">
        <f t="shared" si="7"/>
        <v>177</v>
      </c>
      <c r="B530" s="263" t="s">
        <v>379</v>
      </c>
      <c r="C530" s="355">
        <f>VLOOKUP(A530,Options!$C$4:$I$235,1+'Languages Available'!$D$1)</f>
        <v>177</v>
      </c>
    </row>
    <row r="531" spans="1:3">
      <c r="A531" s="334">
        <f t="shared" si="7"/>
        <v>178</v>
      </c>
      <c r="B531" s="263" t="s">
        <v>381</v>
      </c>
      <c r="C531" s="355">
        <f>VLOOKUP(A531,Options!$C$4:$I$235,1+'Languages Available'!$D$1)</f>
        <v>178</v>
      </c>
    </row>
    <row r="532" spans="1:3">
      <c r="A532" s="334">
        <f t="shared" si="7"/>
        <v>179</v>
      </c>
      <c r="B532" s="265"/>
      <c r="C532" s="355"/>
    </row>
    <row r="533" spans="1:3">
      <c r="A533" s="334">
        <f t="shared" si="7"/>
        <v>180</v>
      </c>
      <c r="B533" s="263" t="s">
        <v>380</v>
      </c>
      <c r="C533" s="355">
        <f>VLOOKUP(A533,Options!$C$4:$I$235,1+'Languages Available'!$D$1)</f>
        <v>180</v>
      </c>
    </row>
    <row r="534" spans="1:3">
      <c r="A534" s="334">
        <f t="shared" si="7"/>
        <v>181</v>
      </c>
      <c r="B534" s="263" t="s">
        <v>381</v>
      </c>
      <c r="C534" s="355">
        <f>VLOOKUP(A534,Options!$C$4:$I$235,1+'Languages Available'!$D$1)</f>
        <v>181</v>
      </c>
    </row>
    <row r="535" spans="1:3">
      <c r="A535" s="334">
        <f t="shared" si="7"/>
        <v>182</v>
      </c>
      <c r="B535" s="265"/>
      <c r="C535" s="355"/>
    </row>
    <row r="536" spans="1:3">
      <c r="A536" s="334">
        <f t="shared" si="7"/>
        <v>183</v>
      </c>
      <c r="B536" s="263" t="s">
        <v>395</v>
      </c>
      <c r="C536" s="355">
        <f>VLOOKUP(A536,Options!$C$4:$I$235,1+'Languages Available'!$D$1)</f>
        <v>183</v>
      </c>
    </row>
    <row r="537" spans="1:3">
      <c r="A537" s="334">
        <f t="shared" si="7"/>
        <v>184</v>
      </c>
      <c r="B537" s="263" t="s">
        <v>396</v>
      </c>
      <c r="C537" s="355">
        <f>VLOOKUP(A537,Options!$C$4:$I$235,1+'Languages Available'!$D$1)</f>
        <v>184</v>
      </c>
    </row>
    <row r="538" spans="1:3">
      <c r="A538" s="334">
        <f t="shared" si="7"/>
        <v>185</v>
      </c>
      <c r="B538" s="263" t="s">
        <v>328</v>
      </c>
      <c r="C538" s="355">
        <f>VLOOKUP(A538,Options!$C$4:$I$235,1+'Languages Available'!$D$1)</f>
        <v>185</v>
      </c>
    </row>
    <row r="539" spans="1:3">
      <c r="A539" s="334">
        <f t="shared" si="7"/>
        <v>186</v>
      </c>
      <c r="B539" s="263"/>
      <c r="C539" s="355"/>
    </row>
    <row r="540" spans="1:3">
      <c r="A540" s="334">
        <f t="shared" si="7"/>
        <v>187</v>
      </c>
      <c r="B540" s="263" t="s">
        <v>265</v>
      </c>
      <c r="C540" s="355">
        <f>VLOOKUP(A540,Options!$C$4:$I$235,1+'Languages Available'!$D$1)</f>
        <v>187</v>
      </c>
    </row>
    <row r="541" spans="1:3">
      <c r="A541" s="334">
        <f t="shared" si="7"/>
        <v>188</v>
      </c>
      <c r="B541" s="263" t="s">
        <v>266</v>
      </c>
      <c r="C541" s="355">
        <f>VLOOKUP(A541,Options!$C$4:$I$235,1+'Languages Available'!$D$1)</f>
        <v>188</v>
      </c>
    </row>
    <row r="542" spans="1:3">
      <c r="A542" s="334">
        <f t="shared" si="7"/>
        <v>189</v>
      </c>
      <c r="B542" s="263" t="s">
        <v>267</v>
      </c>
      <c r="C542" s="355">
        <f>VLOOKUP(A542,Options!$C$4:$I$235,1+'Languages Available'!$D$1)</f>
        <v>189</v>
      </c>
    </row>
    <row r="543" spans="1:3">
      <c r="A543" s="334">
        <f t="shared" si="7"/>
        <v>190</v>
      </c>
      <c r="B543" s="265"/>
      <c r="C543" s="355"/>
    </row>
    <row r="544" spans="1:3">
      <c r="A544" s="334">
        <f t="shared" si="7"/>
        <v>191</v>
      </c>
      <c r="B544" s="263" t="s">
        <v>167</v>
      </c>
      <c r="C544" s="355">
        <f>VLOOKUP(A544,Options!$C$4:$I$235,1+'Languages Available'!$D$1)</f>
        <v>191</v>
      </c>
    </row>
    <row r="545" spans="1:3">
      <c r="A545" s="334">
        <f t="shared" si="7"/>
        <v>192</v>
      </c>
      <c r="B545" s="263" t="s">
        <v>168</v>
      </c>
      <c r="C545" s="355">
        <f>VLOOKUP(A545,Options!$C$4:$I$235,1+'Languages Available'!$D$1)</f>
        <v>192</v>
      </c>
    </row>
    <row r="546" spans="1:3">
      <c r="A546" s="334">
        <f t="shared" si="7"/>
        <v>193</v>
      </c>
      <c r="B546" s="263" t="s">
        <v>169</v>
      </c>
      <c r="C546" s="355">
        <f>VLOOKUP(A546,Options!$C$4:$I$235,1+'Languages Available'!$D$1)</f>
        <v>193</v>
      </c>
    </row>
    <row r="547" spans="1:3">
      <c r="A547" s="334">
        <f t="shared" si="7"/>
        <v>194</v>
      </c>
      <c r="B547" s="263" t="s">
        <v>170</v>
      </c>
      <c r="C547" s="355">
        <f>VLOOKUP(A547,Options!$C$4:$I$235,1+'Languages Available'!$D$1)</f>
        <v>194</v>
      </c>
    </row>
    <row r="548" spans="1:3">
      <c r="A548" s="334">
        <f t="shared" ref="A548:A585" si="8">+A547+1</f>
        <v>195</v>
      </c>
      <c r="B548" s="264"/>
      <c r="C548" s="355"/>
    </row>
    <row r="549" spans="1:3">
      <c r="A549" s="334">
        <f t="shared" si="8"/>
        <v>196</v>
      </c>
      <c r="B549" s="263" t="s">
        <v>173</v>
      </c>
      <c r="C549" s="355">
        <f>VLOOKUP(A549,Options!$C$4:$I$235,1+'Languages Available'!$D$1)</f>
        <v>196</v>
      </c>
    </row>
    <row r="550" spans="1:3">
      <c r="A550" s="334">
        <f t="shared" si="8"/>
        <v>197</v>
      </c>
      <c r="B550" s="263" t="s">
        <v>174</v>
      </c>
      <c r="C550" s="355">
        <f>VLOOKUP(A550,Options!$C$4:$I$235,1+'Languages Available'!$D$1)</f>
        <v>197</v>
      </c>
    </row>
    <row r="551" spans="1:3">
      <c r="A551" s="334">
        <f t="shared" si="8"/>
        <v>198</v>
      </c>
      <c r="B551" s="263" t="s">
        <v>175</v>
      </c>
      <c r="C551" s="355">
        <f>VLOOKUP(A551,Options!$C$4:$I$235,1+'Languages Available'!$D$1)</f>
        <v>198</v>
      </c>
    </row>
    <row r="552" spans="1:3">
      <c r="A552" s="334">
        <f t="shared" si="8"/>
        <v>199</v>
      </c>
      <c r="B552" s="263" t="s">
        <v>170</v>
      </c>
      <c r="C552" s="355">
        <f>VLOOKUP(A552,Options!$C$4:$I$235,1+'Languages Available'!$D$1)</f>
        <v>199</v>
      </c>
    </row>
    <row r="553" spans="1:3">
      <c r="A553" s="334">
        <f t="shared" si="8"/>
        <v>200</v>
      </c>
      <c r="B553" s="265"/>
      <c r="C553" s="355"/>
    </row>
    <row r="554" spans="1:3">
      <c r="A554" s="334">
        <f t="shared" si="8"/>
        <v>201</v>
      </c>
      <c r="B554" s="263" t="s">
        <v>526</v>
      </c>
      <c r="C554" s="355">
        <f>VLOOKUP(A554,Options!$C$4:$I$235,1+'Languages Available'!$D$1)</f>
        <v>201</v>
      </c>
    </row>
    <row r="555" spans="1:3">
      <c r="A555" s="334">
        <f t="shared" si="8"/>
        <v>202</v>
      </c>
      <c r="B555" s="263" t="s">
        <v>527</v>
      </c>
      <c r="C555" s="355">
        <f>VLOOKUP(A555,Options!$C$4:$I$235,1+'Languages Available'!$D$1)</f>
        <v>202</v>
      </c>
    </row>
    <row r="556" spans="1:3">
      <c r="A556" s="334">
        <f t="shared" si="8"/>
        <v>203</v>
      </c>
      <c r="B556" s="263" t="s">
        <v>528</v>
      </c>
      <c r="C556" s="355">
        <f>VLOOKUP(A556,Options!$C$4:$I$235,1+'Languages Available'!$D$1)</f>
        <v>203</v>
      </c>
    </row>
    <row r="557" spans="1:3">
      <c r="A557" s="334">
        <f t="shared" si="8"/>
        <v>204</v>
      </c>
      <c r="B557" s="263" t="s">
        <v>170</v>
      </c>
      <c r="C557" s="355">
        <f>VLOOKUP(A557,Options!$C$4:$I$235,1+'Languages Available'!$D$1)</f>
        <v>204</v>
      </c>
    </row>
    <row r="558" spans="1:3">
      <c r="A558" s="334">
        <f t="shared" si="8"/>
        <v>205</v>
      </c>
      <c r="B558" s="264"/>
      <c r="C558" s="355"/>
    </row>
    <row r="559" spans="1:3">
      <c r="A559" s="334">
        <f t="shared" si="8"/>
        <v>206</v>
      </c>
      <c r="B559" s="263" t="s">
        <v>529</v>
      </c>
      <c r="C559" s="355">
        <f>VLOOKUP(A559,Options!$C$4:$I$235,1+'Languages Available'!$D$1)</f>
        <v>206</v>
      </c>
    </row>
    <row r="560" spans="1:3">
      <c r="A560" s="334">
        <f t="shared" si="8"/>
        <v>207</v>
      </c>
      <c r="B560" s="263" t="s">
        <v>530</v>
      </c>
      <c r="C560" s="355">
        <f>VLOOKUP(A560,Options!$C$4:$I$235,1+'Languages Available'!$D$1)</f>
        <v>207</v>
      </c>
    </row>
    <row r="561" spans="1:3">
      <c r="A561" s="334">
        <f t="shared" si="8"/>
        <v>208</v>
      </c>
      <c r="B561" s="263" t="s">
        <v>531</v>
      </c>
      <c r="C561" s="355">
        <f>VLOOKUP(A561,Options!$C$4:$I$235,1+'Languages Available'!$D$1)</f>
        <v>208</v>
      </c>
    </row>
    <row r="562" spans="1:3">
      <c r="A562" s="334">
        <f t="shared" si="8"/>
        <v>209</v>
      </c>
      <c r="B562" s="263" t="s">
        <v>170</v>
      </c>
      <c r="C562" s="355">
        <f>VLOOKUP(A562,Options!$C$4:$I$235,1+'Languages Available'!$D$1)</f>
        <v>209</v>
      </c>
    </row>
    <row r="563" spans="1:3">
      <c r="A563" s="334">
        <f t="shared" si="8"/>
        <v>210</v>
      </c>
      <c r="B563" s="263"/>
      <c r="C563" s="355"/>
    </row>
    <row r="564" spans="1:3">
      <c r="A564" s="334">
        <f t="shared" si="8"/>
        <v>211</v>
      </c>
      <c r="B564" s="263" t="s">
        <v>176</v>
      </c>
      <c r="C564" s="355">
        <f>VLOOKUP(A564,Options!$C$4:$I$235,1+'Languages Available'!$D$1)</f>
        <v>211</v>
      </c>
    </row>
    <row r="565" spans="1:3">
      <c r="A565" s="334">
        <f t="shared" si="8"/>
        <v>212</v>
      </c>
      <c r="B565" s="263" t="s">
        <v>532</v>
      </c>
      <c r="C565" s="355">
        <f>VLOOKUP(A565,Options!$C$4:$I$235,1+'Languages Available'!$D$1)</f>
        <v>212</v>
      </c>
    </row>
    <row r="566" spans="1:3">
      <c r="A566" s="334">
        <f t="shared" si="8"/>
        <v>213</v>
      </c>
      <c r="B566" s="263" t="s">
        <v>533</v>
      </c>
      <c r="C566" s="355">
        <f>VLOOKUP(A566,Options!$C$4:$I$235,1+'Languages Available'!$D$1)</f>
        <v>213</v>
      </c>
    </row>
    <row r="567" spans="1:3">
      <c r="A567" s="334">
        <f t="shared" si="8"/>
        <v>214</v>
      </c>
      <c r="B567" s="263" t="s">
        <v>170</v>
      </c>
      <c r="C567" s="355">
        <f>VLOOKUP(A567,Options!$C$4:$I$235,1+'Languages Available'!$D$1)</f>
        <v>214</v>
      </c>
    </row>
    <row r="568" spans="1:3">
      <c r="A568" s="334">
        <f t="shared" si="8"/>
        <v>215</v>
      </c>
      <c r="B568" s="263"/>
      <c r="C568" s="355"/>
    </row>
    <row r="569" spans="1:3">
      <c r="A569" s="334">
        <f t="shared" si="8"/>
        <v>216</v>
      </c>
      <c r="B569" s="263" t="s">
        <v>534</v>
      </c>
      <c r="C569" s="355">
        <f>VLOOKUP(A569,Options!$C$4:$I$235,1+'Languages Available'!$D$1)</f>
        <v>216</v>
      </c>
    </row>
    <row r="570" spans="1:3">
      <c r="A570" s="334">
        <f t="shared" si="8"/>
        <v>217</v>
      </c>
      <c r="B570" s="263" t="s">
        <v>177</v>
      </c>
      <c r="C570" s="355">
        <f>VLOOKUP(A570,Options!$C$4:$I$235,1+'Languages Available'!$D$1)</f>
        <v>217</v>
      </c>
    </row>
    <row r="571" spans="1:3">
      <c r="A571" s="334">
        <f t="shared" si="8"/>
        <v>218</v>
      </c>
      <c r="B571" s="263" t="s">
        <v>535</v>
      </c>
      <c r="C571" s="355">
        <f>VLOOKUP(A571,Options!$C$4:$I$235,1+'Languages Available'!$D$1)</f>
        <v>218</v>
      </c>
    </row>
    <row r="572" spans="1:3">
      <c r="A572" s="334">
        <f t="shared" si="8"/>
        <v>219</v>
      </c>
      <c r="B572" s="263" t="s">
        <v>536</v>
      </c>
      <c r="C572" s="355">
        <f>VLOOKUP(A572,Options!$C$4:$I$235,1+'Languages Available'!$D$1)</f>
        <v>219</v>
      </c>
    </row>
    <row r="573" spans="1:3">
      <c r="A573" s="334">
        <f t="shared" si="8"/>
        <v>220</v>
      </c>
      <c r="B573" s="263"/>
      <c r="C573" s="355"/>
    </row>
    <row r="574" spans="1:3">
      <c r="A574" s="334">
        <f t="shared" si="8"/>
        <v>221</v>
      </c>
      <c r="B574" s="269" t="s">
        <v>1775</v>
      </c>
      <c r="C574" s="355">
        <f>VLOOKUP(A574,Options!$C$4:$I$235,1+'Languages Available'!$D$1)</f>
        <v>221</v>
      </c>
    </row>
    <row r="575" spans="1:3">
      <c r="A575" s="334">
        <f t="shared" si="8"/>
        <v>222</v>
      </c>
      <c r="B575" s="269" t="s">
        <v>1776</v>
      </c>
      <c r="C575" s="355">
        <f>VLOOKUP(A575,Options!$C$4:$I$235,1+'Languages Available'!$D$1)</f>
        <v>222</v>
      </c>
    </row>
    <row r="576" spans="1:3">
      <c r="A576" s="334">
        <f t="shared" si="8"/>
        <v>223</v>
      </c>
      <c r="B576" s="269" t="s">
        <v>1777</v>
      </c>
      <c r="C576" s="355">
        <f>VLOOKUP(A576,Options!$C$4:$I$235,1+'Languages Available'!$D$1)</f>
        <v>223</v>
      </c>
    </row>
    <row r="577" spans="1:3">
      <c r="A577" s="334">
        <f t="shared" si="8"/>
        <v>224</v>
      </c>
      <c r="B577" s="269"/>
      <c r="C577" s="355"/>
    </row>
    <row r="578" spans="1:3">
      <c r="A578" s="334">
        <f t="shared" si="8"/>
        <v>225</v>
      </c>
      <c r="B578" s="269" t="s">
        <v>1779</v>
      </c>
      <c r="C578" s="355">
        <f>VLOOKUP(A578,Options!$C$4:$I$235,1+'Languages Available'!$D$1)</f>
        <v>225</v>
      </c>
    </row>
    <row r="579" spans="1:3">
      <c r="A579" s="334">
        <f t="shared" si="8"/>
        <v>226</v>
      </c>
      <c r="B579" s="269" t="s">
        <v>1781</v>
      </c>
      <c r="C579" s="355">
        <f>VLOOKUP(A579,Options!$C$4:$I$235,1+'Languages Available'!$D$1)</f>
        <v>226</v>
      </c>
    </row>
    <row r="580" spans="1:3">
      <c r="A580" s="334">
        <f t="shared" si="8"/>
        <v>227</v>
      </c>
      <c r="B580" s="269" t="s">
        <v>1780</v>
      </c>
      <c r="C580" s="355">
        <f>VLOOKUP(A580,Options!$C$4:$I$235,1+'Languages Available'!$D$1)</f>
        <v>227</v>
      </c>
    </row>
    <row r="581" spans="1:3">
      <c r="A581" s="334">
        <f t="shared" si="8"/>
        <v>228</v>
      </c>
      <c r="B581" s="269" t="s">
        <v>1782</v>
      </c>
      <c r="C581" s="355">
        <f>VLOOKUP(A581,Options!$C$4:$I$235,1+'Languages Available'!$D$1)</f>
        <v>228</v>
      </c>
    </row>
    <row r="582" spans="1:3">
      <c r="A582" s="334">
        <f t="shared" si="8"/>
        <v>229</v>
      </c>
      <c r="B582" s="269"/>
      <c r="C582" s="355"/>
    </row>
    <row r="583" spans="1:3">
      <c r="A583" s="334">
        <f t="shared" si="8"/>
        <v>230</v>
      </c>
      <c r="B583" s="269" t="s">
        <v>1783</v>
      </c>
      <c r="C583" s="355">
        <f>VLOOKUP(A583,Options!$C$4:$I$235,1+'Languages Available'!$D$1)</f>
        <v>230</v>
      </c>
    </row>
    <row r="584" spans="1:3">
      <c r="A584" s="334">
        <f t="shared" si="8"/>
        <v>231</v>
      </c>
      <c r="B584" s="269" t="s">
        <v>1784</v>
      </c>
      <c r="C584" s="355">
        <f>VLOOKUP(A584,Options!$C$4:$I$235,1+'Languages Available'!$D$1)</f>
        <v>231</v>
      </c>
    </row>
    <row r="585" spans="1:3">
      <c r="A585" s="334">
        <f t="shared" si="8"/>
        <v>232</v>
      </c>
      <c r="B585" s="269" t="s">
        <v>1782</v>
      </c>
      <c r="C585" s="355">
        <f>VLOOKUP(A585,Options!$C$4:$I$235,1+'Languages Available'!$D$1)</f>
        <v>232</v>
      </c>
    </row>
  </sheetData>
  <sheetProtection algorithmName="SHA-512" hashValue="38gaVIqE4vcZCdOEzB+nQ9mxuBNBDTpTczn5bFYV8QHxZJR6rUPGkLqOTt5lTPwNmLsYoteC1anmTFUq8YUzYw==" saltValue="qfd53kvyKJ5qESItJNkNkw==" spinCount="100000" sheet="1" objects="1" scenarios="1" formatRows="0" selectLockedCells="1"/>
  <dataValidations count="1">
    <dataValidation type="list" allowBlank="1" showInputMessage="1" showErrorMessage="1" sqref="C1">
      <formula1>LanguageRange</formula1>
    </dataValidation>
  </dataValidations>
  <pageMargins left="0.75" right="0.75" top="1" bottom="1" header="0.5" footer="0.5"/>
  <pageSetup paperSize="9" orientation="portrait" horizontalDpi="4294967292" verticalDpi="429496729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B291"/>
  <sheetViews>
    <sheetView zoomScale="115" zoomScaleNormal="115" zoomScalePageLayoutView="115" workbookViewId="0">
      <pane xSplit="1" ySplit="3" topLeftCell="B4" activePane="bottomRight" state="frozenSplit"/>
      <selection activeCell="B3" sqref="B3"/>
      <selection pane="topRight" activeCell="B3" sqref="B3"/>
      <selection pane="bottomLeft" activeCell="B3" sqref="B3"/>
      <selection pane="bottomRight" activeCell="A16" sqref="A16"/>
    </sheetView>
  </sheetViews>
  <sheetFormatPr baseColWidth="10" defaultColWidth="10.86328125" defaultRowHeight="14.25"/>
  <cols>
    <col min="1" max="2" width="63" style="6" customWidth="1"/>
    <col min="3" max="16384" width="10.86328125" style="6"/>
  </cols>
  <sheetData>
    <row r="1" spans="1:2" ht="25.5">
      <c r="A1" s="180" t="s">
        <v>1747</v>
      </c>
    </row>
    <row r="2" spans="1:2">
      <c r="A2" s="6">
        <v>1</v>
      </c>
      <c r="B2" s="6">
        <v>2</v>
      </c>
    </row>
    <row r="3" spans="1:2" ht="21">
      <c r="A3" s="194" t="str">
        <f>VLOOKUP(A2,'Languages Available'!$A$3:$B$23,2)</f>
        <v>English</v>
      </c>
      <c r="B3" s="194" t="str">
        <f>A1</f>
        <v>New Language</v>
      </c>
    </row>
    <row r="4" spans="1:2">
      <c r="A4" s="184" t="s">
        <v>114</v>
      </c>
      <c r="B4" s="184"/>
    </row>
    <row r="5" spans="1:2">
      <c r="A5" s="185" t="s">
        <v>2</v>
      </c>
      <c r="B5" s="185"/>
    </row>
    <row r="6" spans="1:2" ht="28.5">
      <c r="A6" s="185" t="s">
        <v>84</v>
      </c>
      <c r="B6" s="185"/>
    </row>
    <row r="7" spans="1:2" ht="28.5">
      <c r="A7" s="185" t="s">
        <v>1789</v>
      </c>
      <c r="B7" s="185"/>
    </row>
    <row r="8" spans="1:2" ht="28.5">
      <c r="A8" s="185" t="s">
        <v>118</v>
      </c>
      <c r="B8" s="185"/>
    </row>
    <row r="9" spans="1:2" ht="42.75">
      <c r="A9" s="185" t="s">
        <v>1802</v>
      </c>
      <c r="B9" s="185"/>
    </row>
    <row r="10" spans="1:2">
      <c r="A10" s="185" t="s">
        <v>1794</v>
      </c>
      <c r="B10" s="185"/>
    </row>
    <row r="11" spans="1:2" ht="42.75">
      <c r="A11" s="185" t="s">
        <v>86</v>
      </c>
      <c r="B11" s="185"/>
    </row>
    <row r="12" spans="1:2" ht="57">
      <c r="A12" s="185" t="s">
        <v>87</v>
      </c>
      <c r="B12" s="185"/>
    </row>
    <row r="13" spans="1:2" ht="42.75">
      <c r="A13" s="185" t="s">
        <v>117</v>
      </c>
      <c r="B13" s="185"/>
    </row>
    <row r="14" spans="1:2" ht="42.75">
      <c r="A14" s="185" t="s">
        <v>85</v>
      </c>
      <c r="B14" s="185"/>
    </row>
    <row r="15" spans="1:2">
      <c r="A15" s="185" t="s">
        <v>88</v>
      </c>
      <c r="B15" s="185"/>
    </row>
    <row r="16" spans="1:2" ht="28.5">
      <c r="A16" s="185" t="s">
        <v>119</v>
      </c>
      <c r="B16" s="185"/>
    </row>
    <row r="17" spans="1:2">
      <c r="A17" s="185" t="s">
        <v>1799</v>
      </c>
      <c r="B17" s="185"/>
    </row>
    <row r="18" spans="1:2">
      <c r="A18" s="185" t="s">
        <v>1800</v>
      </c>
      <c r="B18" s="185"/>
    </row>
    <row r="19" spans="1:2">
      <c r="A19" s="185" t="s">
        <v>678</v>
      </c>
      <c r="B19" s="185"/>
    </row>
    <row r="20" spans="1:2">
      <c r="A20" s="185" t="s">
        <v>474</v>
      </c>
      <c r="B20" s="185"/>
    </row>
    <row r="21" spans="1:2" ht="57">
      <c r="A21" s="185" t="s">
        <v>271</v>
      </c>
      <c r="B21" s="185"/>
    </row>
    <row r="22" spans="1:2" ht="57">
      <c r="A22" s="185" t="s">
        <v>272</v>
      </c>
      <c r="B22" s="185"/>
    </row>
    <row r="23" spans="1:2" ht="57">
      <c r="A23" s="185" t="s">
        <v>273</v>
      </c>
      <c r="B23" s="185"/>
    </row>
    <row r="24" spans="1:2" ht="71.25">
      <c r="A24" s="185" t="s">
        <v>1804</v>
      </c>
      <c r="B24" s="185"/>
    </row>
    <row r="25" spans="1:2" ht="71.25">
      <c r="A25" s="185" t="s">
        <v>1805</v>
      </c>
      <c r="B25" s="185"/>
    </row>
    <row r="26" spans="1:2" ht="71.25">
      <c r="A26" s="185" t="s">
        <v>274</v>
      </c>
      <c r="B26" s="185"/>
    </row>
    <row r="27" spans="1:2" ht="57">
      <c r="A27" s="185" t="s">
        <v>275</v>
      </c>
      <c r="B27" s="185"/>
    </row>
    <row r="28" spans="1:2" ht="71.25">
      <c r="A28" s="185" t="s">
        <v>540</v>
      </c>
      <c r="B28" s="185"/>
    </row>
    <row r="29" spans="1:2" ht="57">
      <c r="A29" s="185" t="s">
        <v>679</v>
      </c>
      <c r="B29" s="185"/>
    </row>
    <row r="30" spans="1:2">
      <c r="A30" s="185" t="s">
        <v>122</v>
      </c>
      <c r="B30" s="185"/>
    </row>
    <row r="31" spans="1:2">
      <c r="A31" s="185" t="s">
        <v>113</v>
      </c>
      <c r="B31" s="185"/>
    </row>
    <row r="32" spans="1:2">
      <c r="A32" s="185" t="s">
        <v>109</v>
      </c>
      <c r="B32" s="185"/>
    </row>
    <row r="33" spans="1:2">
      <c r="A33" s="185" t="s">
        <v>110</v>
      </c>
      <c r="B33" s="185"/>
    </row>
    <row r="34" spans="1:2">
      <c r="A34" s="185" t="s">
        <v>111</v>
      </c>
      <c r="B34" s="185"/>
    </row>
    <row r="35" spans="1:2">
      <c r="A35" s="185" t="s">
        <v>112</v>
      </c>
      <c r="B35" s="185"/>
    </row>
    <row r="36" spans="1:2">
      <c r="A36" s="185" t="s">
        <v>128</v>
      </c>
      <c r="B36" s="185"/>
    </row>
    <row r="37" spans="1:2">
      <c r="A37" s="185" t="s">
        <v>1323</v>
      </c>
      <c r="B37" s="185"/>
    </row>
    <row r="38" spans="1:2">
      <c r="A38" s="185" t="s">
        <v>1322</v>
      </c>
      <c r="B38" s="185"/>
    </row>
    <row r="39" spans="1:2">
      <c r="A39" s="185" t="s">
        <v>1321</v>
      </c>
      <c r="B39" s="185"/>
    </row>
    <row r="40" spans="1:2">
      <c r="A40" s="185" t="s">
        <v>129</v>
      </c>
      <c r="B40" s="185"/>
    </row>
    <row r="41" spans="1:2" ht="42.75">
      <c r="A41" s="185" t="s">
        <v>157</v>
      </c>
      <c r="B41" s="185"/>
    </row>
    <row r="42" spans="1:2" ht="57">
      <c r="A42" s="185" t="s">
        <v>680</v>
      </c>
      <c r="B42" s="185"/>
    </row>
    <row r="43" spans="1:2">
      <c r="A43" s="185" t="s">
        <v>1320</v>
      </c>
      <c r="B43" s="185"/>
    </row>
    <row r="44" spans="1:2">
      <c r="A44" s="185" t="s">
        <v>133</v>
      </c>
      <c r="B44" s="185"/>
    </row>
    <row r="45" spans="1:2">
      <c r="A45" s="185" t="s">
        <v>132</v>
      </c>
      <c r="B45" s="185"/>
    </row>
    <row r="46" spans="1:2">
      <c r="A46" s="185" t="s">
        <v>134</v>
      </c>
      <c r="B46" s="185"/>
    </row>
    <row r="47" spans="1:2">
      <c r="A47" s="185" t="s">
        <v>1319</v>
      </c>
      <c r="B47" s="185"/>
    </row>
    <row r="48" spans="1:2">
      <c r="A48" s="185" t="s">
        <v>135</v>
      </c>
      <c r="B48" s="185"/>
    </row>
    <row r="49" spans="1:2">
      <c r="A49" s="185" t="s">
        <v>136</v>
      </c>
      <c r="B49" s="185"/>
    </row>
    <row r="50" spans="1:2">
      <c r="A50" s="185" t="s">
        <v>137</v>
      </c>
      <c r="B50" s="185"/>
    </row>
    <row r="51" spans="1:2">
      <c r="A51" s="185" t="s">
        <v>138</v>
      </c>
      <c r="B51" s="185"/>
    </row>
    <row r="52" spans="1:2" ht="57">
      <c r="A52" s="185" t="s">
        <v>682</v>
      </c>
      <c r="B52" s="185"/>
    </row>
    <row r="53" spans="1:2" ht="57">
      <c r="A53" s="185" t="s">
        <v>684</v>
      </c>
      <c r="B53" s="185"/>
    </row>
    <row r="54" spans="1:2" ht="28.5">
      <c r="A54" s="185" t="s">
        <v>483</v>
      </c>
      <c r="B54" s="185"/>
    </row>
    <row r="55" spans="1:2" ht="28.5">
      <c r="A55" s="185" t="s">
        <v>222</v>
      </c>
      <c r="B55" s="185"/>
    </row>
    <row r="56" spans="1:2">
      <c r="A56" s="185" t="s">
        <v>139</v>
      </c>
      <c r="B56" s="185"/>
    </row>
    <row r="57" spans="1:2">
      <c r="A57" s="185" t="s">
        <v>140</v>
      </c>
      <c r="B57" s="185"/>
    </row>
    <row r="58" spans="1:2">
      <c r="A58" s="185" t="s">
        <v>141</v>
      </c>
      <c r="B58" s="185"/>
    </row>
    <row r="59" spans="1:2">
      <c r="A59" s="185" t="s">
        <v>142</v>
      </c>
      <c r="B59" s="185"/>
    </row>
    <row r="60" spans="1:2">
      <c r="A60" s="185" t="s">
        <v>143</v>
      </c>
      <c r="B60" s="185"/>
    </row>
    <row r="61" spans="1:2">
      <c r="A61" s="185" t="s">
        <v>144</v>
      </c>
      <c r="B61" s="185"/>
    </row>
    <row r="62" spans="1:2">
      <c r="A62" s="185" t="s">
        <v>145</v>
      </c>
      <c r="B62" s="185"/>
    </row>
    <row r="63" spans="1:2" ht="28.5">
      <c r="A63" s="185" t="s">
        <v>484</v>
      </c>
      <c r="B63" s="185"/>
    </row>
    <row r="64" spans="1:2" ht="28.5">
      <c r="A64" s="185" t="s">
        <v>146</v>
      </c>
      <c r="B64" s="185"/>
    </row>
    <row r="65" spans="1:2">
      <c r="A65" s="185" t="s">
        <v>5</v>
      </c>
      <c r="B65" s="185"/>
    </row>
    <row r="66" spans="1:2">
      <c r="A66" s="185" t="s">
        <v>147</v>
      </c>
      <c r="B66" s="185"/>
    </row>
    <row r="67" spans="1:2" ht="71.25">
      <c r="A67" s="185" t="s">
        <v>686</v>
      </c>
      <c r="B67" s="185"/>
    </row>
    <row r="68" spans="1:2" ht="28.5">
      <c r="A68" s="185" t="s">
        <v>232</v>
      </c>
      <c r="B68" s="185"/>
    </row>
    <row r="69" spans="1:2">
      <c r="A69" s="185" t="s">
        <v>1325</v>
      </c>
      <c r="B69" s="185"/>
    </row>
    <row r="70" spans="1:2">
      <c r="A70" s="185" t="s">
        <v>1326</v>
      </c>
      <c r="B70" s="185"/>
    </row>
    <row r="71" spans="1:2">
      <c r="A71" s="185" t="s">
        <v>152</v>
      </c>
      <c r="B71" s="185"/>
    </row>
    <row r="72" spans="1:2">
      <c r="A72" s="185" t="s">
        <v>1327</v>
      </c>
      <c r="B72" s="185"/>
    </row>
    <row r="73" spans="1:2">
      <c r="A73" s="185" t="s">
        <v>154</v>
      </c>
      <c r="B73" s="185"/>
    </row>
    <row r="74" spans="1:2">
      <c r="A74" s="185" t="s">
        <v>1328</v>
      </c>
      <c r="B74" s="185"/>
    </row>
    <row r="75" spans="1:2">
      <c r="A75" s="185" t="s">
        <v>153</v>
      </c>
      <c r="B75" s="185"/>
    </row>
    <row r="76" spans="1:2">
      <c r="A76" s="185" t="s">
        <v>1327</v>
      </c>
      <c r="B76" s="185"/>
    </row>
    <row r="77" spans="1:2">
      <c r="A77" s="185" t="s">
        <v>154</v>
      </c>
      <c r="B77" s="185"/>
    </row>
    <row r="78" spans="1:2">
      <c r="A78" s="185" t="s">
        <v>1328</v>
      </c>
      <c r="B78" s="185"/>
    </row>
    <row r="79" spans="1:2">
      <c r="A79" s="185" t="s">
        <v>1329</v>
      </c>
      <c r="B79" s="185"/>
    </row>
    <row r="80" spans="1:2">
      <c r="A80" s="185" t="s">
        <v>155</v>
      </c>
      <c r="B80" s="185"/>
    </row>
    <row r="81" spans="1:2">
      <c r="A81" s="185" t="s">
        <v>156</v>
      </c>
      <c r="B81" s="185"/>
    </row>
    <row r="82" spans="1:2">
      <c r="A82" s="185" t="s">
        <v>158</v>
      </c>
      <c r="B82" s="185"/>
    </row>
    <row r="83" spans="1:2">
      <c r="A83" s="185" t="s">
        <v>1327</v>
      </c>
      <c r="B83" s="185"/>
    </row>
    <row r="84" spans="1:2">
      <c r="A84" s="185" t="s">
        <v>154</v>
      </c>
      <c r="B84" s="185"/>
    </row>
    <row r="85" spans="1:2">
      <c r="A85" s="185" t="s">
        <v>1328</v>
      </c>
      <c r="B85" s="185"/>
    </row>
    <row r="86" spans="1:2" ht="28.5">
      <c r="A86" s="185" t="s">
        <v>161</v>
      </c>
      <c r="B86" s="185"/>
    </row>
    <row r="87" spans="1:2">
      <c r="A87" s="185" t="s">
        <v>159</v>
      </c>
      <c r="B87" s="185"/>
    </row>
    <row r="88" spans="1:2">
      <c r="A88" s="185" t="s">
        <v>278</v>
      </c>
      <c r="B88" s="185"/>
    </row>
    <row r="89" spans="1:2">
      <c r="A89" s="185" t="s">
        <v>160</v>
      </c>
      <c r="B89" s="185"/>
    </row>
    <row r="90" spans="1:2">
      <c r="A90" s="185" t="s">
        <v>1330</v>
      </c>
      <c r="B90" s="185"/>
    </row>
    <row r="91" spans="1:2" ht="28.5">
      <c r="A91" s="185" t="s">
        <v>279</v>
      </c>
      <c r="B91" s="185"/>
    </row>
    <row r="92" spans="1:2" ht="97.5">
      <c r="A92" s="185" t="s">
        <v>280</v>
      </c>
      <c r="B92" s="185"/>
    </row>
    <row r="93" spans="1:2" ht="256.5">
      <c r="A93" s="185" t="s">
        <v>82</v>
      </c>
      <c r="B93" s="185"/>
    </row>
    <row r="94" spans="1:2" ht="28.5">
      <c r="A94" s="185" t="s">
        <v>281</v>
      </c>
      <c r="B94" s="185"/>
    </row>
    <row r="95" spans="1:2">
      <c r="A95" s="185" t="s">
        <v>482</v>
      </c>
      <c r="B95" s="185"/>
    </row>
    <row r="96" spans="1:2">
      <c r="A96" s="185" t="s">
        <v>162</v>
      </c>
      <c r="B96" s="185"/>
    </row>
    <row r="97" spans="1:2">
      <c r="A97" s="187" t="s">
        <v>166</v>
      </c>
      <c r="B97" s="187"/>
    </row>
    <row r="98" spans="1:2" ht="25.5">
      <c r="A98" s="187" t="s">
        <v>171</v>
      </c>
      <c r="B98" s="187"/>
    </row>
    <row r="99" spans="1:2">
      <c r="A99" s="187" t="s">
        <v>1334</v>
      </c>
      <c r="B99" s="187"/>
    </row>
    <row r="100" spans="1:2">
      <c r="A100" s="188" t="s">
        <v>172</v>
      </c>
      <c r="B100" s="188"/>
    </row>
    <row r="101" spans="1:2">
      <c r="A101" s="189" t="str">
        <f>CONCATENATE("Please choose width. ",IF(B100=yes,"&lt; 4m=0, 4-4.3m=1, &gt;4.3m=2, no ramps=2","&lt; 3m=0, 3-3.3m=1, &gt;3.3m=2, no ramps=2"))</f>
        <v>Please choose width. &lt; 3m=0, 3-3.3m=1, &gt;3.3m=2, no ramps=2</v>
      </c>
      <c r="B101" s="189"/>
    </row>
    <row r="102" spans="1:2" ht="38.25">
      <c r="A102" s="187" t="s">
        <v>178</v>
      </c>
      <c r="B102" s="187"/>
    </row>
    <row r="103" spans="1:2" ht="25.5">
      <c r="A103" s="187" t="s">
        <v>179</v>
      </c>
      <c r="B103" s="187"/>
    </row>
    <row r="104" spans="1:2" ht="25.5">
      <c r="A104" s="187" t="s">
        <v>180</v>
      </c>
      <c r="B104" s="187"/>
    </row>
    <row r="105" spans="1:2">
      <c r="A105" s="185" t="s">
        <v>181</v>
      </c>
      <c r="B105" s="185"/>
    </row>
    <row r="106" spans="1:2">
      <c r="A106" s="185" t="s">
        <v>276</v>
      </c>
      <c r="B106" s="185"/>
    </row>
    <row r="107" spans="1:2" ht="71.25">
      <c r="A107" s="185" t="s">
        <v>694</v>
      </c>
      <c r="B107" s="185"/>
    </row>
    <row r="108" spans="1:2" ht="28.5">
      <c r="A108" s="185" t="s">
        <v>494</v>
      </c>
      <c r="B108" s="185"/>
    </row>
    <row r="109" spans="1:2" ht="28.5">
      <c r="A109" s="185" t="s">
        <v>193</v>
      </c>
      <c r="B109" s="185"/>
    </row>
    <row r="110" spans="1:2" ht="28.5">
      <c r="A110" s="185" t="s">
        <v>194</v>
      </c>
      <c r="B110" s="185"/>
    </row>
    <row r="111" spans="1:2" ht="28.5">
      <c r="A111" s="185" t="s">
        <v>197</v>
      </c>
      <c r="B111" s="185"/>
    </row>
    <row r="112" spans="1:2">
      <c r="A112" s="185" t="s">
        <v>198</v>
      </c>
      <c r="B112" s="185"/>
    </row>
    <row r="113" spans="1:2">
      <c r="A113" s="185" t="s">
        <v>268</v>
      </c>
      <c r="B113" s="185"/>
    </row>
    <row r="114" spans="1:2">
      <c r="A114" s="185" t="s">
        <v>269</v>
      </c>
      <c r="B114" s="185"/>
    </row>
    <row r="115" spans="1:2">
      <c r="A115" s="185" t="s">
        <v>199</v>
      </c>
      <c r="B115" s="185"/>
    </row>
    <row r="116" spans="1:2">
      <c r="A116" s="185" t="s">
        <v>203</v>
      </c>
      <c r="B116" s="185"/>
    </row>
    <row r="117" spans="1:2" ht="28.5">
      <c r="A117" s="185" t="s">
        <v>495</v>
      </c>
      <c r="B117" s="185"/>
    </row>
    <row r="118" spans="1:2" ht="28.5">
      <c r="A118" s="185" t="s">
        <v>496</v>
      </c>
      <c r="B118" s="185"/>
    </row>
    <row r="119" spans="1:2" ht="28.5">
      <c r="A119" s="185" t="s">
        <v>497</v>
      </c>
      <c r="B119" s="185"/>
    </row>
    <row r="120" spans="1:2">
      <c r="A120" s="185" t="s">
        <v>209</v>
      </c>
      <c r="B120" s="185"/>
    </row>
    <row r="121" spans="1:2">
      <c r="A121" s="185" t="s">
        <v>210</v>
      </c>
      <c r="B121" s="185"/>
    </row>
    <row r="122" spans="1:2">
      <c r="A122" s="185" t="s">
        <v>505</v>
      </c>
      <c r="B122" s="185"/>
    </row>
    <row r="123" spans="1:2" ht="28.5">
      <c r="A123" s="185" t="s">
        <v>498</v>
      </c>
      <c r="B123" s="185"/>
    </row>
    <row r="124" spans="1:2">
      <c r="A124" s="185" t="s">
        <v>499</v>
      </c>
      <c r="B124" s="185"/>
    </row>
    <row r="125" spans="1:2">
      <c r="A125" s="185" t="s">
        <v>504</v>
      </c>
      <c r="B125" s="185"/>
    </row>
    <row r="126" spans="1:2">
      <c r="A126" s="185" t="s">
        <v>248</v>
      </c>
      <c r="B126" s="185"/>
    </row>
    <row r="127" spans="1:2">
      <c r="A127" s="185" t="s">
        <v>249</v>
      </c>
      <c r="B127" s="185"/>
    </row>
    <row r="128" spans="1:2">
      <c r="A128" s="185" t="s">
        <v>502</v>
      </c>
      <c r="B128" s="185"/>
    </row>
    <row r="129" spans="1:2">
      <c r="A129" s="187" t="s">
        <v>500</v>
      </c>
      <c r="B129" s="187"/>
    </row>
    <row r="130" spans="1:2">
      <c r="A130" s="188" t="s">
        <v>212</v>
      </c>
      <c r="B130" s="188"/>
    </row>
    <row r="131" spans="1:2">
      <c r="A131" s="189" t="s">
        <v>501</v>
      </c>
      <c r="B131" s="189"/>
    </row>
    <row r="132" spans="1:2">
      <c r="A132" s="187" t="s">
        <v>1336</v>
      </c>
      <c r="B132" s="187"/>
    </row>
    <row r="133" spans="1:2">
      <c r="A133" s="190" t="s">
        <v>253</v>
      </c>
      <c r="B133" s="190"/>
    </row>
    <row r="134" spans="1:2">
      <c r="A134" s="190" t="s">
        <v>254</v>
      </c>
      <c r="B134" s="190"/>
    </row>
    <row r="135" spans="1:2" ht="25.5">
      <c r="A135" s="190" t="s">
        <v>255</v>
      </c>
      <c r="B135" s="190"/>
    </row>
    <row r="136" spans="1:2">
      <c r="A136" s="190" t="s">
        <v>256</v>
      </c>
      <c r="B136" s="190"/>
    </row>
    <row r="137" spans="1:2" ht="25.5">
      <c r="A137" s="187" t="s">
        <v>437</v>
      </c>
      <c r="B137" s="187"/>
    </row>
    <row r="138" spans="1:2">
      <c r="A138" s="185" t="s">
        <v>182</v>
      </c>
      <c r="B138" s="185"/>
    </row>
    <row r="139" spans="1:2">
      <c r="A139" s="185" t="s">
        <v>276</v>
      </c>
      <c r="B139" s="185"/>
    </row>
    <row r="140" spans="1:2">
      <c r="A140" s="185" t="s">
        <v>93</v>
      </c>
      <c r="B140" s="185"/>
    </row>
    <row r="141" spans="1:2" ht="28.5">
      <c r="A141" s="185" t="s">
        <v>309</v>
      </c>
      <c r="B141" s="185"/>
    </row>
    <row r="142" spans="1:2">
      <c r="A142" s="185" t="s">
        <v>290</v>
      </c>
      <c r="B142" s="185"/>
    </row>
    <row r="143" spans="1:2">
      <c r="A143" s="185" t="s">
        <v>282</v>
      </c>
      <c r="B143" s="185"/>
    </row>
    <row r="144" spans="1:2">
      <c r="A144" s="185" t="s">
        <v>283</v>
      </c>
      <c r="B144" s="185"/>
    </row>
    <row r="145" spans="1:2">
      <c r="A145" s="185" t="s">
        <v>284</v>
      </c>
      <c r="B145" s="185"/>
    </row>
    <row r="146" spans="1:2">
      <c r="A146" s="185" t="s">
        <v>285</v>
      </c>
      <c r="B146" s="185"/>
    </row>
    <row r="147" spans="1:2">
      <c r="A147" s="185" t="s">
        <v>286</v>
      </c>
      <c r="B147" s="185"/>
    </row>
    <row r="148" spans="1:2">
      <c r="A148" s="185" t="s">
        <v>287</v>
      </c>
      <c r="B148" s="185"/>
    </row>
    <row r="149" spans="1:2">
      <c r="A149" s="185" t="s">
        <v>288</v>
      </c>
      <c r="B149" s="185"/>
    </row>
    <row r="150" spans="1:2">
      <c r="A150" s="185" t="s">
        <v>289</v>
      </c>
      <c r="B150" s="185"/>
    </row>
    <row r="151" spans="1:2">
      <c r="A151" s="185" t="s">
        <v>292</v>
      </c>
      <c r="B151" s="185"/>
    </row>
    <row r="152" spans="1:2" ht="28.5">
      <c r="A152" s="185" t="s">
        <v>291</v>
      </c>
      <c r="B152" s="185"/>
    </row>
    <row r="153" spans="1:2" ht="28.5">
      <c r="A153" s="185" t="s">
        <v>293</v>
      </c>
      <c r="B153" s="185"/>
    </row>
    <row r="154" spans="1:2" ht="28.5">
      <c r="A154" s="185" t="s">
        <v>299</v>
      </c>
      <c r="B154" s="185"/>
    </row>
    <row r="155" spans="1:2" ht="42.75">
      <c r="A155" s="185" t="s">
        <v>304</v>
      </c>
      <c r="B155" s="185"/>
    </row>
    <row r="156" spans="1:2" ht="42.75">
      <c r="A156" s="185" t="s">
        <v>514</v>
      </c>
      <c r="B156" s="185"/>
    </row>
    <row r="157" spans="1:2" ht="42.75">
      <c r="A157" s="185" t="s">
        <v>310</v>
      </c>
      <c r="B157" s="185"/>
    </row>
    <row r="158" spans="1:2">
      <c r="A158" s="185" t="s">
        <v>438</v>
      </c>
      <c r="B158" s="185"/>
    </row>
    <row r="159" spans="1:2">
      <c r="A159" s="185" t="s">
        <v>276</v>
      </c>
      <c r="B159" s="185"/>
    </row>
    <row r="160" spans="1:2">
      <c r="A160" s="187" t="s">
        <v>1337</v>
      </c>
      <c r="B160" s="187"/>
    </row>
    <row r="161" spans="1:2">
      <c r="A161" s="190" t="s">
        <v>314</v>
      </c>
      <c r="B161" s="190"/>
    </row>
    <row r="162" spans="1:2">
      <c r="A162" s="190" t="s">
        <v>315</v>
      </c>
      <c r="B162" s="190"/>
    </row>
    <row r="163" spans="1:2">
      <c r="A163" s="190" t="s">
        <v>316</v>
      </c>
      <c r="B163" s="190"/>
    </row>
    <row r="164" spans="1:2">
      <c r="A164" s="187" t="s">
        <v>321</v>
      </c>
      <c r="B164" s="187"/>
    </row>
    <row r="165" spans="1:2" ht="25.5">
      <c r="A165" s="188" t="s">
        <v>322</v>
      </c>
      <c r="B165" s="188"/>
    </row>
    <row r="166" spans="1:2" ht="25.5">
      <c r="A166" s="188" t="s">
        <v>323</v>
      </c>
      <c r="B166" s="188"/>
    </row>
    <row r="167" spans="1:2" ht="63.75">
      <c r="A167" s="187" t="s">
        <v>1808</v>
      </c>
      <c r="B167" s="187"/>
    </row>
    <row r="168" spans="1:2" ht="25.5">
      <c r="A168" s="187" t="s">
        <v>1812</v>
      </c>
      <c r="B168" s="187"/>
    </row>
    <row r="169" spans="1:2" ht="38.25">
      <c r="A169" s="187" t="s">
        <v>331</v>
      </c>
      <c r="B169" s="187"/>
    </row>
    <row r="170" spans="1:2" ht="25.5">
      <c r="A170" s="187" t="s">
        <v>332</v>
      </c>
      <c r="B170" s="187"/>
    </row>
    <row r="171" spans="1:2" ht="25.5">
      <c r="A171" s="187" t="s">
        <v>336</v>
      </c>
      <c r="B171" s="187"/>
    </row>
    <row r="172" spans="1:2">
      <c r="A172" s="187" t="s">
        <v>337</v>
      </c>
      <c r="B172" s="187"/>
    </row>
    <row r="173" spans="1:2">
      <c r="A173" s="188" t="s">
        <v>338</v>
      </c>
      <c r="B173" s="188"/>
    </row>
    <row r="174" spans="1:2">
      <c r="A174" s="188" t="s">
        <v>339</v>
      </c>
      <c r="B174" s="188"/>
    </row>
    <row r="175" spans="1:2">
      <c r="A175" s="187" t="s">
        <v>340</v>
      </c>
      <c r="B175" s="187"/>
    </row>
    <row r="176" spans="1:2">
      <c r="A176" s="190" t="s">
        <v>341</v>
      </c>
      <c r="B176" s="190"/>
    </row>
    <row r="177" spans="1:2">
      <c r="A177" s="190" t="s">
        <v>342</v>
      </c>
      <c r="B177" s="190"/>
    </row>
    <row r="178" spans="1:2">
      <c r="A178" s="190" t="s">
        <v>343</v>
      </c>
      <c r="B178" s="190"/>
    </row>
    <row r="179" spans="1:2">
      <c r="A179" s="191" t="s">
        <v>183</v>
      </c>
      <c r="B179" s="191"/>
    </row>
    <row r="180" spans="1:2">
      <c r="A180" s="187" t="s">
        <v>1338</v>
      </c>
      <c r="B180" s="187"/>
    </row>
    <row r="181" spans="1:2">
      <c r="A181" s="190" t="s">
        <v>344</v>
      </c>
      <c r="B181" s="190"/>
    </row>
    <row r="182" spans="1:2">
      <c r="A182" s="190" t="s">
        <v>345</v>
      </c>
      <c r="B182" s="190"/>
    </row>
    <row r="183" spans="1:2">
      <c r="A183" s="190" t="s">
        <v>346</v>
      </c>
      <c r="B183" s="190"/>
    </row>
    <row r="184" spans="1:2">
      <c r="A184" s="187" t="s">
        <v>347</v>
      </c>
      <c r="B184" s="187"/>
    </row>
    <row r="185" spans="1:2">
      <c r="A185" s="190" t="s">
        <v>348</v>
      </c>
      <c r="B185" s="190"/>
    </row>
    <row r="186" spans="1:2">
      <c r="A186" s="190" t="s">
        <v>349</v>
      </c>
      <c r="B186" s="190"/>
    </row>
    <row r="187" spans="1:2">
      <c r="A187" s="190" t="s">
        <v>351</v>
      </c>
      <c r="B187" s="190"/>
    </row>
    <row r="188" spans="1:2">
      <c r="A188" s="190" t="s">
        <v>350</v>
      </c>
      <c r="B188" s="190"/>
    </row>
    <row r="189" spans="1:2">
      <c r="A189" s="190" t="s">
        <v>352</v>
      </c>
      <c r="B189" s="190"/>
    </row>
    <row r="190" spans="1:2">
      <c r="A190" s="190" t="s">
        <v>353</v>
      </c>
      <c r="B190" s="190"/>
    </row>
    <row r="191" spans="1:2">
      <c r="A191" s="190" t="s">
        <v>354</v>
      </c>
      <c r="B191" s="190"/>
    </row>
    <row r="192" spans="1:2">
      <c r="A192" s="190" t="s">
        <v>355</v>
      </c>
      <c r="B192" s="190"/>
    </row>
    <row r="193" spans="1:2">
      <c r="A193" s="187" t="s">
        <v>360</v>
      </c>
      <c r="B193" s="187"/>
    </row>
    <row r="194" spans="1:2">
      <c r="A194" s="187" t="s">
        <v>361</v>
      </c>
      <c r="B194" s="187"/>
    </row>
    <row r="195" spans="1:2" ht="51">
      <c r="A195" s="188" t="s">
        <v>538</v>
      </c>
      <c r="B195" s="188"/>
    </row>
    <row r="196" spans="1:2" ht="25.5">
      <c r="A196" s="188" t="s">
        <v>365</v>
      </c>
      <c r="B196" s="188"/>
    </row>
    <row r="197" spans="1:2">
      <c r="A197" s="187" t="s">
        <v>369</v>
      </c>
      <c r="B197" s="187"/>
    </row>
    <row r="198" spans="1:2">
      <c r="A198" s="190" t="s">
        <v>370</v>
      </c>
      <c r="B198" s="190"/>
    </row>
    <row r="199" spans="1:2">
      <c r="A199" s="190" t="s">
        <v>371</v>
      </c>
      <c r="B199" s="190"/>
    </row>
    <row r="200" spans="1:2">
      <c r="A200" s="190" t="s">
        <v>372</v>
      </c>
      <c r="B200" s="190"/>
    </row>
    <row r="201" spans="1:2">
      <c r="A201" s="190" t="s">
        <v>375</v>
      </c>
      <c r="B201" s="190"/>
    </row>
    <row r="202" spans="1:2">
      <c r="A202" s="187" t="s">
        <v>376</v>
      </c>
      <c r="B202" s="187"/>
    </row>
    <row r="203" spans="1:2">
      <c r="A203" s="188" t="s">
        <v>377</v>
      </c>
      <c r="B203" s="188"/>
    </row>
    <row r="204" spans="1:2">
      <c r="A204" s="188" t="s">
        <v>378</v>
      </c>
      <c r="B204" s="188"/>
    </row>
    <row r="205" spans="1:2">
      <c r="A205" s="187" t="s">
        <v>382</v>
      </c>
      <c r="B205" s="187"/>
    </row>
    <row r="206" spans="1:2">
      <c r="A206" s="190" t="s">
        <v>384</v>
      </c>
      <c r="B206" s="190"/>
    </row>
    <row r="207" spans="1:2">
      <c r="A207" s="190" t="s">
        <v>383</v>
      </c>
      <c r="B207" s="190"/>
    </row>
    <row r="208" spans="1:2">
      <c r="A208" s="190" t="s">
        <v>385</v>
      </c>
      <c r="B208" s="190"/>
    </row>
    <row r="209" spans="1:2">
      <c r="A209" s="187" t="s">
        <v>386</v>
      </c>
      <c r="B209" s="187"/>
    </row>
    <row r="210" spans="1:2">
      <c r="A210" s="187" t="s">
        <v>387</v>
      </c>
      <c r="B210" s="187"/>
    </row>
    <row r="211" spans="1:2">
      <c r="A211" s="187" t="s">
        <v>390</v>
      </c>
      <c r="B211" s="187"/>
    </row>
    <row r="212" spans="1:2">
      <c r="A212" s="188" t="s">
        <v>388</v>
      </c>
      <c r="B212" s="188"/>
    </row>
    <row r="213" spans="1:2">
      <c r="A213" s="188" t="s">
        <v>389</v>
      </c>
      <c r="B213" s="188"/>
    </row>
    <row r="214" spans="1:2">
      <c r="A214" s="185" t="s">
        <v>184</v>
      </c>
      <c r="B214" s="185"/>
    </row>
    <row r="215" spans="1:2">
      <c r="A215" s="185" t="s">
        <v>392</v>
      </c>
      <c r="B215" s="185"/>
    </row>
    <row r="216" spans="1:2">
      <c r="A216" s="185" t="s">
        <v>391</v>
      </c>
      <c r="B216" s="185"/>
    </row>
    <row r="217" spans="1:2">
      <c r="A217" s="185" t="s">
        <v>1755</v>
      </c>
      <c r="B217" s="185"/>
    </row>
    <row r="218" spans="1:2">
      <c r="A218" s="185" t="s">
        <v>1341</v>
      </c>
      <c r="B218" s="185"/>
    </row>
    <row r="219" spans="1:2" ht="28.5">
      <c r="A219" s="185" t="s">
        <v>1342</v>
      </c>
      <c r="B219" s="185"/>
    </row>
    <row r="220" spans="1:2" ht="28.5">
      <c r="A220" s="185" t="s">
        <v>394</v>
      </c>
      <c r="B220" s="185"/>
    </row>
    <row r="221" spans="1:2">
      <c r="A221" s="185" t="s">
        <v>393</v>
      </c>
      <c r="B221" s="185"/>
    </row>
    <row r="222" spans="1:2" ht="28.5">
      <c r="A222" s="185" t="s">
        <v>103</v>
      </c>
      <c r="B222" s="185"/>
    </row>
    <row r="223" spans="1:2" ht="42.75">
      <c r="A223" s="185" t="s">
        <v>104</v>
      </c>
      <c r="B223" s="185"/>
    </row>
    <row r="224" spans="1:2" ht="28.5">
      <c r="A224" s="185" t="s">
        <v>397</v>
      </c>
      <c r="B224" s="185"/>
    </row>
    <row r="225" spans="1:2" ht="28.5">
      <c r="A225" s="185" t="s">
        <v>105</v>
      </c>
      <c r="B225" s="185"/>
    </row>
    <row r="226" spans="1:2" ht="28.5">
      <c r="A226" s="185" t="s">
        <v>106</v>
      </c>
      <c r="B226" s="185"/>
    </row>
    <row r="227" spans="1:2">
      <c r="A227" s="185" t="s">
        <v>185</v>
      </c>
      <c r="B227" s="185"/>
    </row>
    <row r="228" spans="1:2">
      <c r="A228" s="185" t="s">
        <v>398</v>
      </c>
      <c r="B228" s="185"/>
    </row>
    <row r="229" spans="1:2">
      <c r="A229" s="185" t="s">
        <v>399</v>
      </c>
      <c r="B229" s="185"/>
    </row>
    <row r="230" spans="1:2">
      <c r="A230" s="185" t="s">
        <v>400</v>
      </c>
      <c r="B230" s="185"/>
    </row>
    <row r="231" spans="1:2">
      <c r="A231" s="185" t="s">
        <v>401</v>
      </c>
      <c r="B231" s="185"/>
    </row>
    <row r="232" spans="1:2">
      <c r="A232" s="185" t="s">
        <v>402</v>
      </c>
      <c r="B232" s="185"/>
    </row>
    <row r="233" spans="1:2">
      <c r="A233" s="185" t="s">
        <v>403</v>
      </c>
      <c r="B233" s="185"/>
    </row>
    <row r="234" spans="1:2">
      <c r="A234" s="185" t="s">
        <v>404</v>
      </c>
      <c r="B234" s="185"/>
    </row>
    <row r="235" spans="1:2">
      <c r="A235" s="185" t="s">
        <v>399</v>
      </c>
      <c r="B235" s="185"/>
    </row>
    <row r="236" spans="1:2">
      <c r="A236" s="185" t="s">
        <v>400</v>
      </c>
      <c r="B236" s="185"/>
    </row>
    <row r="237" spans="1:2">
      <c r="A237" s="185" t="s">
        <v>401</v>
      </c>
      <c r="B237" s="185"/>
    </row>
    <row r="238" spans="1:2">
      <c r="A238" s="185" t="s">
        <v>402</v>
      </c>
      <c r="B238" s="185"/>
    </row>
    <row r="239" spans="1:2">
      <c r="A239" s="185" t="s">
        <v>405</v>
      </c>
      <c r="B239" s="185"/>
    </row>
    <row r="240" spans="1:2">
      <c r="A240" s="185" t="s">
        <v>406</v>
      </c>
      <c r="B240" s="185"/>
    </row>
    <row r="241" spans="1:2">
      <c r="A241" s="185" t="s">
        <v>399</v>
      </c>
      <c r="B241" s="185"/>
    </row>
    <row r="242" spans="1:2">
      <c r="A242" s="185" t="s">
        <v>400</v>
      </c>
      <c r="B242" s="185"/>
    </row>
    <row r="243" spans="1:2">
      <c r="A243" s="185" t="s">
        <v>402</v>
      </c>
      <c r="B243" s="185"/>
    </row>
    <row r="244" spans="1:2">
      <c r="A244" s="185" t="s">
        <v>407</v>
      </c>
      <c r="B244" s="185"/>
    </row>
    <row r="245" spans="1:2">
      <c r="A245" s="185" t="s">
        <v>408</v>
      </c>
      <c r="B245" s="185"/>
    </row>
    <row r="246" spans="1:2">
      <c r="A246" s="185" t="s">
        <v>409</v>
      </c>
      <c r="B246" s="185"/>
    </row>
    <row r="247" spans="1:2">
      <c r="A247" s="185" t="s">
        <v>410</v>
      </c>
      <c r="B247" s="185"/>
    </row>
    <row r="248" spans="1:2">
      <c r="A248" s="185" t="s">
        <v>411</v>
      </c>
      <c r="B248" s="185"/>
    </row>
    <row r="249" spans="1:2">
      <c r="A249" s="185" t="s">
        <v>412</v>
      </c>
      <c r="B249" s="185"/>
    </row>
    <row r="250" spans="1:2">
      <c r="A250" s="185" t="s">
        <v>413</v>
      </c>
      <c r="B250" s="185"/>
    </row>
    <row r="251" spans="1:2">
      <c r="A251" s="185" t="s">
        <v>399</v>
      </c>
      <c r="B251" s="185"/>
    </row>
    <row r="252" spans="1:2">
      <c r="A252" s="185" t="s">
        <v>414</v>
      </c>
      <c r="B252" s="185"/>
    </row>
    <row r="253" spans="1:2" ht="28.5">
      <c r="A253" s="185" t="s">
        <v>415</v>
      </c>
      <c r="B253" s="185"/>
    </row>
    <row r="254" spans="1:2" ht="28.5">
      <c r="A254" s="185" t="s">
        <v>107</v>
      </c>
      <c r="B254" s="185"/>
    </row>
    <row r="255" spans="1:2">
      <c r="A255" s="185" t="s">
        <v>1803</v>
      </c>
      <c r="B255" s="185"/>
    </row>
    <row r="256" spans="1:2">
      <c r="A256" s="185" t="s">
        <v>186</v>
      </c>
      <c r="B256" s="185"/>
    </row>
    <row r="257" spans="1:2">
      <c r="A257" s="185" t="s">
        <v>416</v>
      </c>
      <c r="B257" s="185"/>
    </row>
    <row r="258" spans="1:2">
      <c r="A258" s="185" t="s">
        <v>417</v>
      </c>
      <c r="B258" s="185"/>
    </row>
    <row r="259" spans="1:2">
      <c r="A259" s="185" t="s">
        <v>418</v>
      </c>
      <c r="B259" s="185"/>
    </row>
    <row r="260" spans="1:2">
      <c r="A260" s="185" t="s">
        <v>419</v>
      </c>
      <c r="B260" s="185"/>
    </row>
    <row r="261" spans="1:2">
      <c r="A261" s="185" t="s">
        <v>420</v>
      </c>
      <c r="B261" s="185"/>
    </row>
    <row r="262" spans="1:2">
      <c r="A262" s="185" t="s">
        <v>421</v>
      </c>
      <c r="B262" s="185"/>
    </row>
    <row r="263" spans="1:2">
      <c r="A263" s="185" t="s">
        <v>422</v>
      </c>
      <c r="B263" s="185"/>
    </row>
    <row r="264" spans="1:2">
      <c r="A264" s="185" t="s">
        <v>423</v>
      </c>
      <c r="B264" s="185"/>
    </row>
    <row r="265" spans="1:2">
      <c r="A265" s="185" t="s">
        <v>424</v>
      </c>
      <c r="B265" s="185"/>
    </row>
    <row r="266" spans="1:2">
      <c r="A266" s="185" t="s">
        <v>425</v>
      </c>
      <c r="B266" s="185"/>
    </row>
    <row r="267" spans="1:2">
      <c r="A267" s="185" t="s">
        <v>426</v>
      </c>
      <c r="B267" s="185"/>
    </row>
    <row r="268" spans="1:2" ht="28.5">
      <c r="A268" s="185" t="s">
        <v>427</v>
      </c>
      <c r="B268" s="185"/>
    </row>
    <row r="269" spans="1:2" ht="28.5">
      <c r="A269" s="185" t="s">
        <v>428</v>
      </c>
      <c r="B269" s="185"/>
    </row>
    <row r="270" spans="1:2">
      <c r="A270" s="185" t="s">
        <v>429</v>
      </c>
      <c r="B270" s="185"/>
    </row>
    <row r="271" spans="1:2" ht="42.75">
      <c r="A271" s="185" t="s">
        <v>264</v>
      </c>
      <c r="B271" s="185"/>
    </row>
    <row r="272" spans="1:2" ht="28.5">
      <c r="A272" s="185" t="s">
        <v>335</v>
      </c>
      <c r="B272" s="185"/>
    </row>
    <row r="273" spans="1:2" ht="42.75">
      <c r="A273" s="185" t="s">
        <v>537</v>
      </c>
      <c r="B273" s="185"/>
    </row>
    <row r="274" spans="1:2">
      <c r="A274" s="192"/>
      <c r="B274" s="192"/>
    </row>
    <row r="275" spans="1:2">
      <c r="A275" s="192"/>
      <c r="B275" s="192"/>
    </row>
    <row r="276" spans="1:2">
      <c r="A276" s="192"/>
      <c r="B276" s="192"/>
    </row>
    <row r="277" spans="1:2">
      <c r="A277" s="192"/>
      <c r="B277" s="192"/>
    </row>
    <row r="278" spans="1:2">
      <c r="A278" s="192"/>
      <c r="B278" s="192"/>
    </row>
    <row r="279" spans="1:2">
      <c r="A279" s="192"/>
      <c r="B279" s="192"/>
    </row>
    <row r="280" spans="1:2">
      <c r="A280" s="192"/>
      <c r="B280" s="192"/>
    </row>
    <row r="281" spans="1:2">
      <c r="A281" s="192"/>
      <c r="B281" s="192"/>
    </row>
    <row r="282" spans="1:2">
      <c r="A282" s="192"/>
      <c r="B282" s="192"/>
    </row>
    <row r="283" spans="1:2">
      <c r="A283" s="192"/>
      <c r="B283" s="192"/>
    </row>
    <row r="284" spans="1:2">
      <c r="A284" s="192"/>
      <c r="B284" s="192"/>
    </row>
    <row r="285" spans="1:2">
      <c r="A285" s="192"/>
      <c r="B285" s="192"/>
    </row>
    <row r="286" spans="1:2">
      <c r="A286" s="192"/>
      <c r="B286" s="192"/>
    </row>
    <row r="287" spans="1:2">
      <c r="A287" s="192"/>
      <c r="B287" s="192"/>
    </row>
    <row r="288" spans="1:2">
      <c r="A288" s="192"/>
      <c r="B288" s="192"/>
    </row>
    <row r="289" spans="1:2">
      <c r="A289" s="192"/>
      <c r="B289" s="192"/>
    </row>
    <row r="290" spans="1:2">
      <c r="A290" s="192"/>
      <c r="B290" s="192"/>
    </row>
    <row r="291" spans="1:2">
      <c r="A291" s="193"/>
      <c r="B291" s="193"/>
    </row>
  </sheetData>
  <sheetProtection algorithmName="SHA-512" hashValue="Coiv4e/sol7MOJZVNHalzIEEchYENU69k4r0VLlfCr92IY0zRi/25lGZhxxQQcUl8XVNbstA0K6A/ClLYKEQ8Q==" saltValue="LVVgjzdUIwyWc9RAasgj5g==" spinCount="100000" sheet="1" objects="1" scenarios="1" formatRows="0" selectLockedCells="1"/>
  <dataConsolidate/>
  <pageMargins left="0.75" right="0.75" top="1" bottom="1" header="0.5" footer="0.5"/>
  <pageSetup paperSize="9" orientation="portrait" horizontalDpi="4294967292" verticalDpi="429496729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B285"/>
  <sheetViews>
    <sheetView workbookViewId="0">
      <pane xSplit="1" ySplit="3" topLeftCell="B4" activePane="bottomRight" state="frozenSplit"/>
      <selection activeCell="B3" sqref="B3"/>
      <selection pane="topRight" activeCell="B3" sqref="B3"/>
      <selection pane="bottomLeft" activeCell="B3" sqref="B3"/>
      <selection pane="bottomRight" activeCell="B3" sqref="B3"/>
    </sheetView>
  </sheetViews>
  <sheetFormatPr baseColWidth="10" defaultColWidth="10.86328125" defaultRowHeight="14.25"/>
  <cols>
    <col min="1" max="2" width="40.1328125" style="6" customWidth="1"/>
    <col min="3" max="16384" width="10.86328125" style="6"/>
  </cols>
  <sheetData>
    <row r="1" spans="1:2" ht="25.5">
      <c r="A1" s="180" t="str">
        <f>'Languages (2)'!A1</f>
        <v>New Language</v>
      </c>
    </row>
    <row r="3" spans="1:2" ht="21">
      <c r="A3" s="194" t="str">
        <f>'Languages (2)'!A3</f>
        <v>English</v>
      </c>
      <c r="B3" s="194" t="str">
        <f>A1</f>
        <v>New Language</v>
      </c>
    </row>
    <row r="4" spans="1:2">
      <c r="A4" s="184" t="s">
        <v>456</v>
      </c>
      <c r="B4" s="184"/>
    </row>
    <row r="5" spans="1:2">
      <c r="A5" s="185" t="s">
        <v>457</v>
      </c>
      <c r="B5" s="185"/>
    </row>
    <row r="6" spans="1:2">
      <c r="A6" s="185" t="s">
        <v>458</v>
      </c>
      <c r="B6" s="185"/>
    </row>
    <row r="7" spans="1:2">
      <c r="A7" s="185"/>
      <c r="B7" s="185"/>
    </row>
    <row r="8" spans="1:2">
      <c r="A8" s="185" t="s">
        <v>459</v>
      </c>
      <c r="B8" s="185"/>
    </row>
    <row r="9" spans="1:2">
      <c r="A9" s="185" t="s">
        <v>460</v>
      </c>
      <c r="B9" s="185"/>
    </row>
    <row r="10" spans="1:2">
      <c r="A10" s="185" t="s">
        <v>461</v>
      </c>
      <c r="B10" s="185"/>
    </row>
    <row r="11" spans="1:2">
      <c r="A11" s="185" t="s">
        <v>462</v>
      </c>
      <c r="B11" s="185"/>
    </row>
    <row r="12" spans="1:2">
      <c r="A12" s="185" t="s">
        <v>463</v>
      </c>
      <c r="B12" s="185"/>
    </row>
    <row r="13" spans="1:2">
      <c r="A13" s="185"/>
      <c r="B13" s="185"/>
    </row>
    <row r="14" spans="1:2">
      <c r="A14" s="185" t="s">
        <v>464</v>
      </c>
      <c r="B14" s="185"/>
    </row>
    <row r="15" spans="1:2">
      <c r="A15" s="185" t="s">
        <v>466</v>
      </c>
      <c r="B15" s="185"/>
    </row>
    <row r="16" spans="1:2">
      <c r="A16" s="185" t="s">
        <v>467</v>
      </c>
      <c r="B16" s="185"/>
    </row>
    <row r="17" spans="1:2">
      <c r="A17" s="185" t="s">
        <v>468</v>
      </c>
      <c r="B17" s="185"/>
    </row>
    <row r="18" spans="1:2">
      <c r="A18" s="185" t="s">
        <v>465</v>
      </c>
      <c r="B18" s="185"/>
    </row>
    <row r="19" spans="1:2">
      <c r="A19" s="185"/>
      <c r="B19" s="185"/>
    </row>
    <row r="20" spans="1:2">
      <c r="A20" s="185" t="s">
        <v>115</v>
      </c>
      <c r="B20" s="185"/>
    </row>
    <row r="21" spans="1:2">
      <c r="A21" s="185" t="s">
        <v>116</v>
      </c>
      <c r="B21" s="185"/>
    </row>
    <row r="22" spans="1:2">
      <c r="A22" s="185"/>
      <c r="B22" s="185"/>
    </row>
    <row r="23" spans="1:2">
      <c r="A23" s="185" t="s">
        <v>130</v>
      </c>
      <c r="B23" s="185"/>
    </row>
    <row r="24" spans="1:2">
      <c r="A24" s="185" t="s">
        <v>131</v>
      </c>
      <c r="B24" s="185"/>
    </row>
    <row r="25" spans="1:2">
      <c r="A25" s="185" t="s">
        <v>211</v>
      </c>
      <c r="B25" s="185"/>
    </row>
    <row r="26" spans="1:2">
      <c r="A26" s="185" t="s">
        <v>213</v>
      </c>
      <c r="B26" s="185"/>
    </row>
    <row r="27" spans="1:2">
      <c r="A27" s="185" t="s">
        <v>214</v>
      </c>
      <c r="B27" s="185"/>
    </row>
    <row r="28" spans="1:2">
      <c r="A28" s="185" t="s">
        <v>215</v>
      </c>
      <c r="B28" s="185"/>
    </row>
    <row r="29" spans="1:2">
      <c r="A29" s="185"/>
      <c r="B29" s="185"/>
    </row>
    <row r="30" spans="1:2">
      <c r="A30" s="185" t="s">
        <v>217</v>
      </c>
      <c r="B30" s="185"/>
    </row>
    <row r="31" spans="1:2">
      <c r="A31" s="185" t="s">
        <v>218</v>
      </c>
      <c r="B31" s="185"/>
    </row>
    <row r="32" spans="1:2">
      <c r="A32" s="185" t="s">
        <v>216</v>
      </c>
      <c r="B32" s="185"/>
    </row>
    <row r="33" spans="1:2">
      <c r="A33" s="185"/>
      <c r="B33" s="185"/>
    </row>
    <row r="34" spans="1:2">
      <c r="A34" s="185" t="s">
        <v>219</v>
      </c>
      <c r="B34" s="185"/>
    </row>
    <row r="35" spans="1:2">
      <c r="A35" s="185" t="s">
        <v>220</v>
      </c>
      <c r="B35" s="185"/>
    </row>
    <row r="36" spans="1:2">
      <c r="A36" s="185" t="s">
        <v>221</v>
      </c>
      <c r="B36" s="185"/>
    </row>
    <row r="37" spans="1:2">
      <c r="A37" s="185"/>
      <c r="B37" s="185"/>
    </row>
    <row r="38" spans="1:2">
      <c r="A38" s="185" t="s">
        <v>223</v>
      </c>
      <c r="B38" s="185"/>
    </row>
    <row r="39" spans="1:2">
      <c r="A39" s="185" t="s">
        <v>224</v>
      </c>
      <c r="B39" s="185"/>
    </row>
    <row r="40" spans="1:2">
      <c r="A40" s="185"/>
      <c r="B40" s="185"/>
    </row>
    <row r="41" spans="1:2">
      <c r="A41" s="185" t="s">
        <v>225</v>
      </c>
      <c r="B41" s="185"/>
    </row>
    <row r="42" spans="1:2">
      <c r="A42" s="185" t="s">
        <v>226</v>
      </c>
      <c r="B42" s="185"/>
    </row>
    <row r="43" spans="1:2">
      <c r="A43" s="185" t="s">
        <v>227</v>
      </c>
      <c r="B43" s="185"/>
    </row>
    <row r="44" spans="1:2">
      <c r="A44" s="185"/>
      <c r="B44" s="185"/>
    </row>
    <row r="45" spans="1:2">
      <c r="A45" s="185" t="s">
        <v>228</v>
      </c>
      <c r="B45" s="185"/>
    </row>
    <row r="46" spans="1:2">
      <c r="A46" s="185" t="s">
        <v>229</v>
      </c>
      <c r="B46" s="185"/>
    </row>
    <row r="47" spans="1:2">
      <c r="A47" s="185" t="s">
        <v>230</v>
      </c>
      <c r="B47" s="185"/>
    </row>
    <row r="48" spans="1:2" ht="28.5">
      <c r="A48" s="185" t="s">
        <v>231</v>
      </c>
      <c r="B48" s="185"/>
    </row>
    <row r="49" spans="1:2">
      <c r="A49" s="185"/>
      <c r="B49" s="185"/>
    </row>
    <row r="50" spans="1:2">
      <c r="A50" s="185" t="s">
        <v>149</v>
      </c>
      <c r="B50" s="185"/>
    </row>
    <row r="51" spans="1:2">
      <c r="A51" s="185" t="s">
        <v>150</v>
      </c>
      <c r="B51" s="185"/>
    </row>
    <row r="52" spans="1:2">
      <c r="A52" s="185" t="s">
        <v>151</v>
      </c>
      <c r="B52" s="185"/>
    </row>
    <row r="53" spans="1:2">
      <c r="A53" s="185"/>
      <c r="B53" s="185"/>
    </row>
    <row r="54" spans="1:2">
      <c r="A54" s="185" t="s">
        <v>234</v>
      </c>
      <c r="B54" s="185"/>
    </row>
    <row r="55" spans="1:2">
      <c r="A55" s="185" t="s">
        <v>233</v>
      </c>
      <c r="B55" s="185"/>
    </row>
    <row r="56" spans="1:2">
      <c r="A56" s="185"/>
      <c r="B56" s="185"/>
    </row>
    <row r="57" spans="1:2">
      <c r="A57" s="185" t="s">
        <v>238</v>
      </c>
      <c r="B57" s="185"/>
    </row>
    <row r="58" spans="1:2">
      <c r="A58" s="185" t="s">
        <v>239</v>
      </c>
      <c r="B58" s="185"/>
    </row>
    <row r="59" spans="1:2">
      <c r="A59" s="185" t="s">
        <v>240</v>
      </c>
      <c r="B59" s="185"/>
    </row>
    <row r="60" spans="1:2">
      <c r="A60" s="185" t="s">
        <v>241</v>
      </c>
      <c r="B60" s="185"/>
    </row>
    <row r="61" spans="1:2">
      <c r="A61" s="185" t="s">
        <v>242</v>
      </c>
      <c r="B61" s="185"/>
    </row>
    <row r="62" spans="1:2">
      <c r="A62" s="185" t="s">
        <v>243</v>
      </c>
      <c r="B62" s="185"/>
    </row>
    <row r="63" spans="1:2">
      <c r="A63" s="185"/>
      <c r="B63" s="185"/>
    </row>
    <row r="64" spans="1:2">
      <c r="A64" s="185" t="s">
        <v>244</v>
      </c>
      <c r="B64" s="185"/>
    </row>
    <row r="65" spans="1:2">
      <c r="A65" s="185" t="s">
        <v>245</v>
      </c>
      <c r="B65" s="185"/>
    </row>
    <row r="66" spans="1:2">
      <c r="A66" s="185" t="s">
        <v>246</v>
      </c>
      <c r="B66" s="185"/>
    </row>
    <row r="67" spans="1:2">
      <c r="A67" s="185" t="s">
        <v>247</v>
      </c>
      <c r="B67" s="185"/>
    </row>
    <row r="68" spans="1:2">
      <c r="A68" s="185"/>
      <c r="B68" s="185"/>
    </row>
    <row r="69" spans="1:2">
      <c r="A69" s="185" t="s">
        <v>163</v>
      </c>
      <c r="B69" s="185"/>
    </row>
    <row r="70" spans="1:2">
      <c r="A70" s="185" t="s">
        <v>164</v>
      </c>
      <c r="B70" s="185"/>
    </row>
    <row r="71" spans="1:2">
      <c r="A71" s="185" t="s">
        <v>165</v>
      </c>
      <c r="B71" s="185"/>
    </row>
    <row r="72" spans="1:2">
      <c r="A72" s="185"/>
      <c r="B72" s="185"/>
    </row>
    <row r="73" spans="1:2">
      <c r="A73" s="185" t="s">
        <v>187</v>
      </c>
      <c r="B73" s="185"/>
    </row>
    <row r="74" spans="1:2">
      <c r="A74" s="185" t="s">
        <v>190</v>
      </c>
      <c r="B74" s="185"/>
    </row>
    <row r="75" spans="1:2">
      <c r="A75" s="185" t="s">
        <v>188</v>
      </c>
      <c r="B75" s="185"/>
    </row>
    <row r="76" spans="1:2">
      <c r="A76" s="185" t="s">
        <v>189</v>
      </c>
      <c r="B76" s="185"/>
    </row>
    <row r="77" spans="1:2">
      <c r="A77" s="185"/>
      <c r="B77" s="185"/>
    </row>
    <row r="78" spans="1:2">
      <c r="A78" s="185" t="s">
        <v>191</v>
      </c>
      <c r="B78" s="185"/>
    </row>
    <row r="79" spans="1:2">
      <c r="A79" s="185" t="s">
        <v>192</v>
      </c>
      <c r="B79" s="185"/>
    </row>
    <row r="80" spans="1:2">
      <c r="A80" s="185" t="s">
        <v>131</v>
      </c>
      <c r="B80" s="185"/>
    </row>
    <row r="81" spans="1:2">
      <c r="A81" s="185"/>
      <c r="B81" s="185"/>
    </row>
    <row r="82" spans="1:2">
      <c r="A82" s="185" t="s">
        <v>195</v>
      </c>
      <c r="B82" s="185"/>
    </row>
    <row r="83" spans="1:2">
      <c r="A83" s="185" t="s">
        <v>196</v>
      </c>
      <c r="B83" s="185"/>
    </row>
    <row r="84" spans="1:2">
      <c r="A84" s="185" t="s">
        <v>131</v>
      </c>
      <c r="B84" s="185"/>
    </row>
    <row r="85" spans="1:2">
      <c r="A85" s="185"/>
      <c r="B85" s="185"/>
    </row>
    <row r="86" spans="1:2">
      <c r="A86" s="185" t="s">
        <v>201</v>
      </c>
      <c r="B86" s="185"/>
    </row>
    <row r="87" spans="1:2">
      <c r="A87" s="185" t="s">
        <v>202</v>
      </c>
      <c r="B87" s="185"/>
    </row>
    <row r="88" spans="1:2">
      <c r="A88" s="185"/>
      <c r="B88" s="185"/>
    </row>
    <row r="89" spans="1:2">
      <c r="A89" s="185" t="s">
        <v>204</v>
      </c>
      <c r="B89" s="185"/>
    </row>
    <row r="90" spans="1:2">
      <c r="A90" s="185" t="s">
        <v>205</v>
      </c>
      <c r="B90" s="185"/>
    </row>
    <row r="91" spans="1:2">
      <c r="A91" s="185" t="s">
        <v>206</v>
      </c>
      <c r="B91" s="185"/>
    </row>
    <row r="92" spans="1:2">
      <c r="A92" s="185"/>
      <c r="B92" s="185"/>
    </row>
    <row r="93" spans="1:2">
      <c r="A93" s="187" t="s">
        <v>207</v>
      </c>
      <c r="B93" s="187"/>
    </row>
    <row r="94" spans="1:2">
      <c r="A94" s="187" t="s">
        <v>208</v>
      </c>
      <c r="B94" s="187"/>
    </row>
    <row r="95" spans="1:2">
      <c r="A95" s="187" t="s">
        <v>200</v>
      </c>
      <c r="B95" s="187"/>
    </row>
    <row r="96" spans="1:2">
      <c r="A96" s="188"/>
      <c r="B96" s="188"/>
    </row>
    <row r="97" spans="1:2">
      <c r="A97" s="189" t="s">
        <v>257</v>
      </c>
      <c r="B97" s="189"/>
    </row>
    <row r="98" spans="1:2">
      <c r="A98" s="187" t="s">
        <v>258</v>
      </c>
      <c r="B98" s="187"/>
    </row>
    <row r="99" spans="1:2">
      <c r="A99" s="187"/>
      <c r="B99" s="187"/>
    </row>
    <row r="100" spans="1:2">
      <c r="A100" s="187" t="s">
        <v>250</v>
      </c>
      <c r="B100" s="187"/>
    </row>
    <row r="101" spans="1:2">
      <c r="A101" s="185" t="s">
        <v>503</v>
      </c>
      <c r="B101" s="185"/>
    </row>
    <row r="102" spans="1:2">
      <c r="A102" s="185"/>
      <c r="B102" s="185"/>
    </row>
    <row r="103" spans="1:2">
      <c r="A103" s="185" t="s">
        <v>251</v>
      </c>
      <c r="B103" s="185"/>
    </row>
    <row r="104" spans="1:2">
      <c r="A104" s="185" t="s">
        <v>252</v>
      </c>
      <c r="B104" s="185"/>
    </row>
    <row r="105" spans="1:2">
      <c r="A105" s="185"/>
      <c r="B105" s="185"/>
    </row>
    <row r="106" spans="1:2">
      <c r="A106" s="185" t="s">
        <v>259</v>
      </c>
      <c r="B106" s="185"/>
    </row>
    <row r="107" spans="1:2">
      <c r="A107" s="185" t="s">
        <v>260</v>
      </c>
      <c r="B107" s="185"/>
    </row>
    <row r="108" spans="1:2">
      <c r="A108" s="185" t="s">
        <v>261</v>
      </c>
      <c r="B108" s="185"/>
    </row>
    <row r="109" spans="1:2">
      <c r="A109" s="185"/>
      <c r="B109" s="185"/>
    </row>
    <row r="110" spans="1:2">
      <c r="A110" s="185" t="s">
        <v>263</v>
      </c>
      <c r="B110" s="185"/>
    </row>
    <row r="111" spans="1:2">
      <c r="A111" s="185" t="s">
        <v>262</v>
      </c>
      <c r="B111" s="185"/>
    </row>
    <row r="112" spans="1:2">
      <c r="A112" s="185"/>
      <c r="B112" s="185"/>
    </row>
    <row r="113" spans="1:2">
      <c r="A113" s="185" t="s">
        <v>295</v>
      </c>
      <c r="B113" s="185"/>
    </row>
    <row r="114" spans="1:2">
      <c r="A114" s="185" t="s">
        <v>296</v>
      </c>
      <c r="B114" s="185"/>
    </row>
    <row r="115" spans="1:2">
      <c r="A115" s="185" t="s">
        <v>294</v>
      </c>
      <c r="B115" s="185"/>
    </row>
    <row r="116" spans="1:2">
      <c r="A116" s="185"/>
      <c r="B116" s="185"/>
    </row>
    <row r="117" spans="1:2">
      <c r="A117" s="185" t="s">
        <v>295</v>
      </c>
      <c r="B117" s="185"/>
    </row>
    <row r="118" spans="1:2">
      <c r="A118" s="185" t="s">
        <v>298</v>
      </c>
      <c r="B118" s="185"/>
    </row>
    <row r="119" spans="1:2">
      <c r="A119" s="185" t="s">
        <v>297</v>
      </c>
      <c r="B119" s="185"/>
    </row>
    <row r="120" spans="1:2">
      <c r="A120" s="185" t="s">
        <v>131</v>
      </c>
      <c r="B120" s="185"/>
    </row>
    <row r="121" spans="1:2">
      <c r="A121" s="185"/>
      <c r="B121" s="185"/>
    </row>
    <row r="122" spans="1:2">
      <c r="A122" s="185" t="s">
        <v>300</v>
      </c>
      <c r="B122" s="185"/>
    </row>
    <row r="123" spans="1:2">
      <c r="A123" s="185" t="s">
        <v>301</v>
      </c>
      <c r="B123" s="185"/>
    </row>
    <row r="124" spans="1:2">
      <c r="A124" s="185" t="s">
        <v>303</v>
      </c>
      <c r="B124" s="185"/>
    </row>
    <row r="125" spans="1:2">
      <c r="A125" s="187" t="s">
        <v>302</v>
      </c>
      <c r="B125" s="187"/>
    </row>
    <row r="126" spans="1:2">
      <c r="A126" s="188"/>
      <c r="B126" s="188"/>
    </row>
    <row r="127" spans="1:2" ht="27">
      <c r="A127" s="189" t="s">
        <v>307</v>
      </c>
      <c r="B127" s="189"/>
    </row>
    <row r="128" spans="1:2" ht="25.5">
      <c r="A128" s="187" t="s">
        <v>308</v>
      </c>
      <c r="B128" s="187"/>
    </row>
    <row r="129" spans="1:2">
      <c r="A129" s="190" t="s">
        <v>305</v>
      </c>
      <c r="B129" s="190"/>
    </row>
    <row r="130" spans="1:2">
      <c r="A130" s="190" t="s">
        <v>306</v>
      </c>
      <c r="B130" s="190"/>
    </row>
    <row r="131" spans="1:2">
      <c r="A131" s="190"/>
      <c r="B131" s="190"/>
    </row>
    <row r="132" spans="1:2">
      <c r="A132" s="190" t="s">
        <v>311</v>
      </c>
      <c r="B132" s="190"/>
    </row>
    <row r="133" spans="1:2">
      <c r="A133" s="187" t="s">
        <v>313</v>
      </c>
      <c r="B133" s="187"/>
    </row>
    <row r="134" spans="1:2">
      <c r="A134" s="185" t="s">
        <v>312</v>
      </c>
      <c r="B134" s="185"/>
    </row>
    <row r="135" spans="1:2">
      <c r="A135" s="185"/>
      <c r="B135" s="185"/>
    </row>
    <row r="136" spans="1:2">
      <c r="A136" s="185" t="s">
        <v>318</v>
      </c>
      <c r="B136" s="185"/>
    </row>
    <row r="137" spans="1:2">
      <c r="A137" s="185" t="s">
        <v>317</v>
      </c>
      <c r="B137" s="185"/>
    </row>
    <row r="138" spans="1:2">
      <c r="A138" s="185"/>
      <c r="B138" s="185"/>
    </row>
    <row r="139" spans="1:2">
      <c r="A139" s="185" t="s">
        <v>149</v>
      </c>
      <c r="B139" s="185"/>
    </row>
    <row r="140" spans="1:2">
      <c r="A140" s="185" t="s">
        <v>319</v>
      </c>
      <c r="B140" s="185"/>
    </row>
    <row r="141" spans="1:2">
      <c r="A141" s="185" t="s">
        <v>320</v>
      </c>
      <c r="B141" s="185"/>
    </row>
    <row r="142" spans="1:2">
      <c r="A142" s="185" t="s">
        <v>131</v>
      </c>
      <c r="B142" s="185"/>
    </row>
    <row r="143" spans="1:2">
      <c r="A143" s="185"/>
      <c r="B143" s="185"/>
    </row>
    <row r="144" spans="1:2">
      <c r="A144" s="185" t="s">
        <v>324</v>
      </c>
      <c r="B144" s="185"/>
    </row>
    <row r="145" spans="1:2">
      <c r="A145" s="185" t="s">
        <v>325</v>
      </c>
      <c r="B145" s="185"/>
    </row>
    <row r="146" spans="1:2">
      <c r="A146" s="185" t="s">
        <v>326</v>
      </c>
      <c r="B146" s="185"/>
    </row>
    <row r="147" spans="1:2">
      <c r="A147" s="185" t="s">
        <v>327</v>
      </c>
      <c r="B147" s="185"/>
    </row>
    <row r="148" spans="1:2">
      <c r="A148" s="185"/>
      <c r="B148" s="185"/>
    </row>
    <row r="149" spans="1:2">
      <c r="A149" s="185" t="s">
        <v>149</v>
      </c>
      <c r="B149" s="185"/>
    </row>
    <row r="150" spans="1:2">
      <c r="A150" s="185" t="s">
        <v>319</v>
      </c>
      <c r="B150" s="185"/>
    </row>
    <row r="151" spans="1:2">
      <c r="A151" s="185" t="s">
        <v>320</v>
      </c>
      <c r="B151" s="185"/>
    </row>
    <row r="152" spans="1:2">
      <c r="A152" s="185" t="s">
        <v>328</v>
      </c>
      <c r="B152" s="185"/>
    </row>
    <row r="153" spans="1:2">
      <c r="A153" s="185" t="s">
        <v>329</v>
      </c>
      <c r="B153" s="185"/>
    </row>
    <row r="154" spans="1:2">
      <c r="A154" s="185"/>
      <c r="B154" s="185"/>
    </row>
    <row r="155" spans="1:2">
      <c r="A155" s="187" t="s">
        <v>149</v>
      </c>
      <c r="B155" s="187"/>
    </row>
    <row r="156" spans="1:2">
      <c r="A156" s="190" t="s">
        <v>330</v>
      </c>
      <c r="B156" s="190"/>
    </row>
    <row r="157" spans="1:2">
      <c r="A157" s="190" t="s">
        <v>328</v>
      </c>
      <c r="B157" s="190"/>
    </row>
    <row r="158" spans="1:2">
      <c r="A158" s="190"/>
      <c r="B158" s="190"/>
    </row>
    <row r="159" spans="1:2">
      <c r="A159" s="187" t="s">
        <v>333</v>
      </c>
      <c r="B159" s="187"/>
    </row>
    <row r="160" spans="1:2">
      <c r="A160" s="188" t="s">
        <v>334</v>
      </c>
      <c r="B160" s="188"/>
    </row>
    <row r="161" spans="1:2">
      <c r="A161" s="188" t="s">
        <v>328</v>
      </c>
      <c r="B161" s="188"/>
    </row>
    <row r="162" spans="1:2">
      <c r="A162" s="187"/>
      <c r="B162" s="187"/>
    </row>
    <row r="163" spans="1:2">
      <c r="A163" s="187" t="s">
        <v>357</v>
      </c>
      <c r="B163" s="187"/>
    </row>
    <row r="164" spans="1:2">
      <c r="A164" s="187" t="s">
        <v>356</v>
      </c>
      <c r="B164" s="187"/>
    </row>
    <row r="165" spans="1:2">
      <c r="A165" s="187" t="s">
        <v>358</v>
      </c>
      <c r="B165" s="187"/>
    </row>
    <row r="166" spans="1:2">
      <c r="A166" s="187" t="s">
        <v>359</v>
      </c>
      <c r="B166" s="187"/>
    </row>
    <row r="167" spans="1:2">
      <c r="A167" s="187"/>
      <c r="B167" s="187"/>
    </row>
    <row r="168" spans="1:2">
      <c r="A168" s="188" t="s">
        <v>362</v>
      </c>
      <c r="B168" s="188"/>
    </row>
    <row r="169" spans="1:2">
      <c r="A169" s="188" t="s">
        <v>363</v>
      </c>
      <c r="B169" s="188"/>
    </row>
    <row r="170" spans="1:2">
      <c r="A170" s="187" t="s">
        <v>364</v>
      </c>
      <c r="B170" s="187"/>
    </row>
    <row r="171" spans="1:2">
      <c r="A171" s="190" t="s">
        <v>539</v>
      </c>
      <c r="B171" s="190"/>
    </row>
    <row r="172" spans="1:2">
      <c r="A172" s="190"/>
      <c r="B172" s="190"/>
    </row>
    <row r="173" spans="1:2">
      <c r="A173" s="190" t="s">
        <v>366</v>
      </c>
      <c r="B173" s="190"/>
    </row>
    <row r="174" spans="1:2">
      <c r="A174" s="191" t="s">
        <v>367</v>
      </c>
      <c r="B174" s="191"/>
    </row>
    <row r="175" spans="1:2">
      <c r="A175" s="187" t="s">
        <v>368</v>
      </c>
      <c r="B175" s="187"/>
    </row>
    <row r="176" spans="1:2">
      <c r="A176" s="190"/>
      <c r="B176" s="190"/>
    </row>
    <row r="177" spans="1:2">
      <c r="A177" s="190" t="s">
        <v>373</v>
      </c>
      <c r="B177" s="190"/>
    </row>
    <row r="178" spans="1:2">
      <c r="A178" s="190" t="s">
        <v>374</v>
      </c>
      <c r="B178" s="190"/>
    </row>
    <row r="179" spans="1:2">
      <c r="A179" s="187"/>
      <c r="B179" s="187"/>
    </row>
    <row r="180" spans="1:2">
      <c r="A180" s="190" t="s">
        <v>379</v>
      </c>
      <c r="B180" s="190"/>
    </row>
    <row r="181" spans="1:2">
      <c r="A181" s="190" t="s">
        <v>381</v>
      </c>
      <c r="B181" s="190"/>
    </row>
    <row r="182" spans="1:2">
      <c r="A182" s="190"/>
      <c r="B182" s="190"/>
    </row>
    <row r="183" spans="1:2">
      <c r="A183" s="190" t="s">
        <v>380</v>
      </c>
      <c r="B183" s="190"/>
    </row>
    <row r="184" spans="1:2">
      <c r="A184" s="190" t="s">
        <v>381</v>
      </c>
      <c r="B184" s="190"/>
    </row>
    <row r="185" spans="1:2">
      <c r="A185" s="190"/>
      <c r="B185" s="190"/>
    </row>
    <row r="186" spans="1:2">
      <c r="A186" s="190" t="s">
        <v>395</v>
      </c>
      <c r="B186" s="190"/>
    </row>
    <row r="187" spans="1:2">
      <c r="A187" s="190" t="s">
        <v>396</v>
      </c>
      <c r="B187" s="190"/>
    </row>
    <row r="188" spans="1:2">
      <c r="A188" s="187" t="s">
        <v>328</v>
      </c>
      <c r="B188" s="187"/>
    </row>
    <row r="189" spans="1:2">
      <c r="A189" s="187"/>
      <c r="B189" s="187"/>
    </row>
    <row r="190" spans="1:2">
      <c r="A190" s="188" t="s">
        <v>265</v>
      </c>
      <c r="B190" s="188"/>
    </row>
    <row r="191" spans="1:2">
      <c r="A191" s="188" t="s">
        <v>266</v>
      </c>
      <c r="B191" s="188"/>
    </row>
    <row r="192" spans="1:2">
      <c r="A192" s="187" t="s">
        <v>267</v>
      </c>
      <c r="B192" s="187"/>
    </row>
    <row r="193" spans="1:2">
      <c r="A193" s="190"/>
      <c r="B193" s="190"/>
    </row>
    <row r="194" spans="1:2">
      <c r="A194" s="190" t="s">
        <v>167</v>
      </c>
      <c r="B194" s="190"/>
    </row>
    <row r="195" spans="1:2">
      <c r="A195" s="190" t="s">
        <v>168</v>
      </c>
      <c r="B195" s="190"/>
    </row>
    <row r="196" spans="1:2">
      <c r="A196" s="190" t="s">
        <v>169</v>
      </c>
      <c r="B196" s="190"/>
    </row>
    <row r="197" spans="1:2">
      <c r="A197" s="187" t="s">
        <v>170</v>
      </c>
      <c r="B197" s="187"/>
    </row>
    <row r="198" spans="1:2">
      <c r="A198" s="188"/>
      <c r="B198" s="188"/>
    </row>
    <row r="199" spans="1:2">
      <c r="A199" s="188" t="s">
        <v>173</v>
      </c>
      <c r="B199" s="188"/>
    </row>
    <row r="200" spans="1:2">
      <c r="A200" s="187" t="s">
        <v>174</v>
      </c>
      <c r="B200" s="187"/>
    </row>
    <row r="201" spans="1:2">
      <c r="A201" s="190" t="s">
        <v>175</v>
      </c>
      <c r="B201" s="190"/>
    </row>
    <row r="202" spans="1:2">
      <c r="A202" s="190" t="s">
        <v>170</v>
      </c>
      <c r="B202" s="190"/>
    </row>
    <row r="203" spans="1:2">
      <c r="A203" s="190"/>
      <c r="B203" s="190"/>
    </row>
    <row r="204" spans="1:2">
      <c r="A204" s="187" t="s">
        <v>526</v>
      </c>
      <c r="B204" s="187"/>
    </row>
    <row r="205" spans="1:2">
      <c r="A205" s="187" t="s">
        <v>527</v>
      </c>
      <c r="B205" s="187"/>
    </row>
    <row r="206" spans="1:2">
      <c r="A206" s="187" t="s">
        <v>528</v>
      </c>
      <c r="B206" s="187"/>
    </row>
    <row r="207" spans="1:2">
      <c r="A207" s="188" t="s">
        <v>170</v>
      </c>
      <c r="B207" s="188"/>
    </row>
    <row r="208" spans="1:2">
      <c r="A208" s="188"/>
      <c r="B208" s="188"/>
    </row>
    <row r="209" spans="1:2">
      <c r="A209" s="185" t="s">
        <v>529</v>
      </c>
      <c r="B209" s="185"/>
    </row>
    <row r="210" spans="1:2">
      <c r="A210" s="185" t="s">
        <v>530</v>
      </c>
      <c r="B210" s="185"/>
    </row>
    <row r="211" spans="1:2">
      <c r="A211" s="185" t="s">
        <v>531</v>
      </c>
      <c r="B211" s="185"/>
    </row>
    <row r="212" spans="1:2">
      <c r="A212" s="185" t="s">
        <v>170</v>
      </c>
      <c r="B212" s="185"/>
    </row>
    <row r="213" spans="1:2">
      <c r="A213" s="185"/>
      <c r="B213" s="185"/>
    </row>
    <row r="214" spans="1:2">
      <c r="A214" s="185" t="s">
        <v>176</v>
      </c>
      <c r="B214" s="185"/>
    </row>
    <row r="215" spans="1:2">
      <c r="A215" s="185" t="s">
        <v>532</v>
      </c>
      <c r="B215" s="185"/>
    </row>
    <row r="216" spans="1:2">
      <c r="A216" s="185" t="s">
        <v>533</v>
      </c>
      <c r="B216" s="185"/>
    </row>
    <row r="217" spans="1:2">
      <c r="A217" s="185" t="s">
        <v>170</v>
      </c>
      <c r="B217" s="185"/>
    </row>
    <row r="218" spans="1:2">
      <c r="A218" s="185"/>
      <c r="B218" s="185"/>
    </row>
    <row r="219" spans="1:2">
      <c r="A219" s="185" t="s">
        <v>534</v>
      </c>
      <c r="B219" s="185"/>
    </row>
    <row r="220" spans="1:2">
      <c r="A220" s="185" t="s">
        <v>177</v>
      </c>
      <c r="B220" s="185"/>
    </row>
    <row r="221" spans="1:2">
      <c r="A221" s="185" t="s">
        <v>535</v>
      </c>
      <c r="B221" s="185"/>
    </row>
    <row r="222" spans="1:2">
      <c r="A222" s="185" t="s">
        <v>536</v>
      </c>
      <c r="B222" s="185"/>
    </row>
    <row r="223" spans="1:2">
      <c r="A223" s="185"/>
      <c r="B223" s="185"/>
    </row>
    <row r="224" spans="1:2">
      <c r="A224" s="185" t="s">
        <v>1775</v>
      </c>
      <c r="B224" s="185"/>
    </row>
    <row r="225" spans="1:2">
      <c r="A225" s="185" t="s">
        <v>1776</v>
      </c>
      <c r="B225" s="185"/>
    </row>
    <row r="226" spans="1:2">
      <c r="A226" s="185" t="s">
        <v>1777</v>
      </c>
      <c r="B226" s="185"/>
    </row>
    <row r="227" spans="1:2">
      <c r="A227" s="185"/>
      <c r="B227" s="185"/>
    </row>
    <row r="228" spans="1:2">
      <c r="A228" s="185" t="s">
        <v>1779</v>
      </c>
      <c r="B228" s="185"/>
    </row>
    <row r="229" spans="1:2">
      <c r="A229" s="185" t="s">
        <v>1781</v>
      </c>
      <c r="B229" s="185"/>
    </row>
    <row r="230" spans="1:2">
      <c r="A230" s="185" t="s">
        <v>1780</v>
      </c>
      <c r="B230" s="185"/>
    </row>
    <row r="231" spans="1:2">
      <c r="A231" s="185" t="s">
        <v>1782</v>
      </c>
      <c r="B231" s="185"/>
    </row>
    <row r="232" spans="1:2">
      <c r="A232" s="185"/>
      <c r="B232" s="185"/>
    </row>
    <row r="233" spans="1:2">
      <c r="A233" s="185" t="s">
        <v>1783</v>
      </c>
      <c r="B233" s="185"/>
    </row>
    <row r="234" spans="1:2">
      <c r="A234" s="185" t="s">
        <v>1784</v>
      </c>
      <c r="B234" s="185"/>
    </row>
    <row r="235" spans="1:2">
      <c r="A235" s="185" t="s">
        <v>1782</v>
      </c>
      <c r="B235" s="185"/>
    </row>
    <row r="236" spans="1:2">
      <c r="A236" s="185"/>
      <c r="B236" s="185"/>
    </row>
    <row r="237" spans="1:2">
      <c r="A237" s="185"/>
      <c r="B237" s="185"/>
    </row>
    <row r="238" spans="1:2">
      <c r="A238" s="185"/>
      <c r="B238" s="185"/>
    </row>
    <row r="239" spans="1:2">
      <c r="A239" s="185"/>
      <c r="B239" s="185"/>
    </row>
    <row r="240" spans="1:2">
      <c r="A240" s="185"/>
      <c r="B240" s="185"/>
    </row>
    <row r="241" spans="1:2">
      <c r="A241" s="185"/>
      <c r="B241" s="185"/>
    </row>
    <row r="242" spans="1:2">
      <c r="A242" s="185"/>
      <c r="B242" s="185"/>
    </row>
    <row r="243" spans="1:2">
      <c r="A243" s="185"/>
      <c r="B243" s="185"/>
    </row>
    <row r="244" spans="1:2">
      <c r="A244" s="185"/>
      <c r="B244" s="185"/>
    </row>
    <row r="245" spans="1:2">
      <c r="A245" s="185"/>
      <c r="B245" s="185"/>
    </row>
    <row r="246" spans="1:2">
      <c r="A246" s="185"/>
      <c r="B246" s="185"/>
    </row>
    <row r="247" spans="1:2">
      <c r="A247" s="185"/>
      <c r="B247" s="185"/>
    </row>
    <row r="248" spans="1:2">
      <c r="A248" s="185"/>
      <c r="B248" s="185"/>
    </row>
    <row r="249" spans="1:2">
      <c r="A249" s="185"/>
      <c r="B249" s="185"/>
    </row>
    <row r="250" spans="1:2">
      <c r="A250" s="185"/>
      <c r="B250" s="185"/>
    </row>
    <row r="251" spans="1:2">
      <c r="A251" s="185"/>
      <c r="B251" s="185"/>
    </row>
    <row r="252" spans="1:2">
      <c r="A252" s="185"/>
      <c r="B252" s="185"/>
    </row>
    <row r="253" spans="1:2">
      <c r="A253" s="185"/>
      <c r="B253" s="185"/>
    </row>
    <row r="254" spans="1:2">
      <c r="A254" s="185"/>
      <c r="B254" s="185"/>
    </row>
    <row r="255" spans="1:2">
      <c r="A255" s="185"/>
      <c r="B255" s="185"/>
    </row>
    <row r="256" spans="1:2">
      <c r="A256" s="185"/>
      <c r="B256" s="185"/>
    </row>
    <row r="257" spans="1:2">
      <c r="A257" s="185"/>
      <c r="B257" s="185"/>
    </row>
    <row r="258" spans="1:2">
      <c r="A258" s="185"/>
      <c r="B258" s="185"/>
    </row>
    <row r="259" spans="1:2">
      <c r="A259" s="185"/>
      <c r="B259" s="185"/>
    </row>
    <row r="260" spans="1:2">
      <c r="A260" s="185"/>
      <c r="B260" s="185"/>
    </row>
    <row r="261" spans="1:2">
      <c r="A261" s="185"/>
      <c r="B261" s="185"/>
    </row>
    <row r="262" spans="1:2">
      <c r="A262" s="185"/>
      <c r="B262" s="185"/>
    </row>
    <row r="263" spans="1:2">
      <c r="A263" s="185"/>
      <c r="B263" s="185"/>
    </row>
    <row r="264" spans="1:2">
      <c r="A264" s="185"/>
      <c r="B264" s="185"/>
    </row>
    <row r="265" spans="1:2">
      <c r="A265" s="185"/>
      <c r="B265" s="185"/>
    </row>
    <row r="266" spans="1:2">
      <c r="A266" s="185"/>
      <c r="B266" s="185"/>
    </row>
    <row r="267" spans="1:2">
      <c r="A267" s="185"/>
      <c r="B267" s="185"/>
    </row>
    <row r="268" spans="1:2">
      <c r="A268" s="192"/>
      <c r="B268" s="192"/>
    </row>
    <row r="269" spans="1:2">
      <c r="A269" s="192"/>
      <c r="B269" s="192"/>
    </row>
    <row r="270" spans="1:2">
      <c r="A270" s="192"/>
      <c r="B270" s="192"/>
    </row>
    <row r="271" spans="1:2">
      <c r="A271" s="192"/>
      <c r="B271" s="192"/>
    </row>
    <row r="272" spans="1:2">
      <c r="A272" s="192"/>
      <c r="B272" s="192"/>
    </row>
    <row r="273" spans="1:2">
      <c r="A273" s="192"/>
      <c r="B273" s="192"/>
    </row>
    <row r="274" spans="1:2">
      <c r="A274" s="192"/>
      <c r="B274" s="192"/>
    </row>
    <row r="275" spans="1:2">
      <c r="A275" s="192"/>
      <c r="B275" s="192"/>
    </row>
    <row r="276" spans="1:2">
      <c r="A276" s="192"/>
      <c r="B276" s="192"/>
    </row>
    <row r="277" spans="1:2">
      <c r="A277" s="192"/>
      <c r="B277" s="192"/>
    </row>
    <row r="278" spans="1:2">
      <c r="A278" s="192"/>
      <c r="B278" s="192"/>
    </row>
    <row r="279" spans="1:2">
      <c r="A279" s="192"/>
      <c r="B279" s="192"/>
    </row>
    <row r="280" spans="1:2">
      <c r="A280" s="192"/>
      <c r="B280" s="192"/>
    </row>
    <row r="281" spans="1:2">
      <c r="A281" s="192"/>
      <c r="B281" s="192"/>
    </row>
    <row r="282" spans="1:2">
      <c r="A282" s="192"/>
      <c r="B282" s="192"/>
    </row>
    <row r="283" spans="1:2">
      <c r="A283" s="192"/>
      <c r="B283" s="192"/>
    </row>
    <row r="284" spans="1:2">
      <c r="A284" s="192"/>
      <c r="B284" s="192"/>
    </row>
    <row r="285" spans="1:2">
      <c r="A285" s="193"/>
      <c r="B285" s="193"/>
    </row>
  </sheetData>
  <sheetProtection algorithmName="SHA-512" hashValue="IedHTOoqz13NbefFUQ1sDiYNqDs3LSL/jBk/JzheQjWTUlRx3wKh04coDr+SkL8LtBzs7XTDL93IJ7ylMLaQ5w==" saltValue="41Q2GJkx8eInBl2WaaOytA==" spinCount="100000" sheet="1" objects="1" scenarios="1" formatRows="0" selectLockedCells="1"/>
  <pageMargins left="0.75" right="0.75" top="1" bottom="1" header="0.5" footer="0.5"/>
  <pageSetup paperSize="9" orientation="portrait" horizontalDpi="4294967292" verticalDpi="429496729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B286"/>
  <sheetViews>
    <sheetView workbookViewId="0">
      <pane xSplit="1" ySplit="3" topLeftCell="B4" activePane="bottomRight" state="frozenSplit"/>
      <selection activeCell="B3" sqref="B3"/>
      <selection pane="topRight" activeCell="B3" sqref="B3"/>
      <selection pane="bottomLeft" activeCell="B3" sqref="B3"/>
      <selection pane="bottomRight" activeCell="A32" sqref="A32"/>
    </sheetView>
  </sheetViews>
  <sheetFormatPr baseColWidth="10" defaultColWidth="10.86328125" defaultRowHeight="14.25"/>
  <cols>
    <col min="1" max="2" width="63" style="6" customWidth="1"/>
    <col min="3" max="16384" width="10.86328125" style="6"/>
  </cols>
  <sheetData>
    <row r="1" spans="1:2" ht="25.5">
      <c r="A1" s="180" t="str">
        <f>'Options (2)'!A1</f>
        <v>New Language</v>
      </c>
    </row>
    <row r="2" spans="1:2">
      <c r="A2" s="6">
        <v>1</v>
      </c>
      <c r="B2" s="6">
        <v>2</v>
      </c>
    </row>
    <row r="3" spans="1:2" ht="21">
      <c r="A3" s="194" t="str">
        <f>'Options (2)'!A3</f>
        <v>English</v>
      </c>
      <c r="B3" s="194" t="str">
        <f>VLOOKUP(B2,'Languages Available'!$A$3:$B$23,2)</f>
        <v>Dutch</v>
      </c>
    </row>
    <row r="4" spans="1:2">
      <c r="A4" s="184" t="s">
        <v>445</v>
      </c>
      <c r="B4" s="184"/>
    </row>
    <row r="5" spans="1:2">
      <c r="A5" s="185" t="s">
        <v>442</v>
      </c>
      <c r="B5" s="185"/>
    </row>
    <row r="6" spans="1:2">
      <c r="A6" s="185" t="s">
        <v>440</v>
      </c>
      <c r="B6" s="185"/>
    </row>
    <row r="7" spans="1:2">
      <c r="A7" s="185" t="s">
        <v>441</v>
      </c>
      <c r="B7" s="185"/>
    </row>
    <row r="8" spans="1:2">
      <c r="A8" s="185" t="s">
        <v>444</v>
      </c>
      <c r="B8" s="185"/>
    </row>
    <row r="9" spans="1:2">
      <c r="A9" s="185" t="s">
        <v>0</v>
      </c>
      <c r="B9" s="185"/>
    </row>
    <row r="10" spans="1:2">
      <c r="A10" s="185" t="s">
        <v>446</v>
      </c>
      <c r="B10" s="185"/>
    </row>
    <row r="11" spans="1:2">
      <c r="A11" s="185" t="s">
        <v>447</v>
      </c>
      <c r="B11" s="185"/>
    </row>
    <row r="12" spans="1:2">
      <c r="A12" s="185" t="s">
        <v>448</v>
      </c>
      <c r="B12" s="185"/>
    </row>
    <row r="13" spans="1:2">
      <c r="A13" s="185" t="s">
        <v>449</v>
      </c>
      <c r="B13" s="185"/>
    </row>
    <row r="14" spans="1:2">
      <c r="A14" s="185" t="s">
        <v>450</v>
      </c>
      <c r="B14" s="185"/>
    </row>
    <row r="15" spans="1:2">
      <c r="A15" s="185" t="s">
        <v>451</v>
      </c>
      <c r="B15" s="185"/>
    </row>
    <row r="16" spans="1:2">
      <c r="A16" s="185" t="s">
        <v>452</v>
      </c>
      <c r="B16" s="185"/>
    </row>
    <row r="17" spans="1:2">
      <c r="A17" s="185" t="s">
        <v>453</v>
      </c>
      <c r="B17" s="185"/>
    </row>
    <row r="18" spans="1:2">
      <c r="A18" s="185" t="s">
        <v>454</v>
      </c>
      <c r="B18" s="185"/>
    </row>
    <row r="19" spans="1:2">
      <c r="A19" s="185" t="s">
        <v>455</v>
      </c>
      <c r="B19" s="185"/>
    </row>
    <row r="20" spans="1:2">
      <c r="A20" s="185" t="s">
        <v>469</v>
      </c>
      <c r="B20" s="185"/>
    </row>
    <row r="21" spans="1:2">
      <c r="A21" s="185" t="s">
        <v>470</v>
      </c>
      <c r="B21" s="185"/>
    </row>
    <row r="22" spans="1:2">
      <c r="A22" s="185" t="s">
        <v>1</v>
      </c>
      <c r="B22" s="185"/>
    </row>
    <row r="23" spans="1:2">
      <c r="A23" s="185" t="s">
        <v>471</v>
      </c>
      <c r="B23" s="185"/>
    </row>
    <row r="24" spans="1:2">
      <c r="A24" s="185" t="s">
        <v>472</v>
      </c>
      <c r="B24" s="185"/>
    </row>
    <row r="25" spans="1:2">
      <c r="A25" s="185" t="s">
        <v>120</v>
      </c>
      <c r="B25" s="185"/>
    </row>
    <row r="26" spans="1:2">
      <c r="A26" s="185" t="s">
        <v>121</v>
      </c>
      <c r="B26" s="185"/>
    </row>
    <row r="27" spans="1:2">
      <c r="A27" s="185" t="s">
        <v>473</v>
      </c>
      <c r="B27" s="185"/>
    </row>
    <row r="28" spans="1:2">
      <c r="A28" s="185" t="s">
        <v>116</v>
      </c>
      <c r="B28" s="185"/>
    </row>
    <row r="29" spans="1:2">
      <c r="A29" s="185" t="s">
        <v>521</v>
      </c>
      <c r="B29" s="185"/>
    </row>
    <row r="30" spans="1:2">
      <c r="A30" s="185" t="s">
        <v>127</v>
      </c>
      <c r="B30" s="185"/>
    </row>
    <row r="31" spans="1:2">
      <c r="A31" s="185" t="s">
        <v>277</v>
      </c>
      <c r="B31" s="185"/>
    </row>
    <row r="32" spans="1:2">
      <c r="A32" s="185" t="s">
        <v>125</v>
      </c>
      <c r="B32" s="185"/>
    </row>
    <row r="33" spans="1:2">
      <c r="A33" s="185" t="s">
        <v>126</v>
      </c>
      <c r="B33" s="185"/>
    </row>
    <row r="34" spans="1:2">
      <c r="A34" s="185" t="s">
        <v>3</v>
      </c>
      <c r="B34" s="185"/>
    </row>
    <row r="35" spans="1:2">
      <c r="A35" s="185" t="s">
        <v>270</v>
      </c>
      <c r="B35" s="185"/>
    </row>
    <row r="36" spans="1:2">
      <c r="A36" s="185" t="s">
        <v>481</v>
      </c>
      <c r="B36" s="185"/>
    </row>
    <row r="37" spans="1:2">
      <c r="A37" s="185" t="s">
        <v>479</v>
      </c>
      <c r="B37" s="185"/>
    </row>
    <row r="38" spans="1:2">
      <c r="A38" s="185" t="s">
        <v>123</v>
      </c>
      <c r="B38" s="185"/>
    </row>
    <row r="39" spans="1:2">
      <c r="A39" s="185" t="s">
        <v>124</v>
      </c>
      <c r="B39" s="185"/>
    </row>
    <row r="40" spans="1:2">
      <c r="A40" s="185" t="s">
        <v>430</v>
      </c>
      <c r="B40" s="185"/>
    </row>
    <row r="41" spans="1:2">
      <c r="A41" s="185" t="s">
        <v>431</v>
      </c>
      <c r="B41" s="185"/>
    </row>
    <row r="42" spans="1:2">
      <c r="A42" s="185" t="s">
        <v>432</v>
      </c>
      <c r="B42" s="185"/>
    </row>
    <row r="43" spans="1:2">
      <c r="A43" s="185" t="s">
        <v>434</v>
      </c>
      <c r="B43" s="185"/>
    </row>
    <row r="44" spans="1:2">
      <c r="A44" s="185" t="s">
        <v>476</v>
      </c>
      <c r="B44" s="185"/>
    </row>
    <row r="45" spans="1:2">
      <c r="A45" s="185" t="s">
        <v>519</v>
      </c>
      <c r="B45" s="185"/>
    </row>
    <row r="46" spans="1:2">
      <c r="A46" s="185" t="s">
        <v>477</v>
      </c>
      <c r="B46" s="185"/>
    </row>
    <row r="47" spans="1:2">
      <c r="A47" s="185" t="s">
        <v>478</v>
      </c>
      <c r="B47" s="185"/>
    </row>
    <row r="48" spans="1:2">
      <c r="A48" s="185" t="s">
        <v>433</v>
      </c>
      <c r="B48" s="185"/>
    </row>
    <row r="49" spans="1:2">
      <c r="A49" s="185" t="s">
        <v>435</v>
      </c>
      <c r="B49" s="185"/>
    </row>
    <row r="50" spans="1:2">
      <c r="A50" s="185" t="s">
        <v>522</v>
      </c>
      <c r="B50" s="185"/>
    </row>
    <row r="51" spans="1:2">
      <c r="A51" s="185" t="s">
        <v>436</v>
      </c>
      <c r="B51" s="185"/>
    </row>
    <row r="52" spans="1:2">
      <c r="A52" s="185" t="s">
        <v>523</v>
      </c>
      <c r="B52" s="185"/>
    </row>
    <row r="53" spans="1:2">
      <c r="A53" s="185" t="s">
        <v>520</v>
      </c>
      <c r="B53" s="185"/>
    </row>
    <row r="54" spans="1:2">
      <c r="A54" s="185" t="s">
        <v>524</v>
      </c>
      <c r="B54" s="185"/>
    </row>
    <row r="55" spans="1:2">
      <c r="A55" s="185" t="s">
        <v>276</v>
      </c>
      <c r="B55" s="185"/>
    </row>
    <row r="56" spans="1:2">
      <c r="A56" s="185" t="s">
        <v>92</v>
      </c>
      <c r="B56" s="185"/>
    </row>
    <row r="57" spans="1:2">
      <c r="A57" s="185" t="s">
        <v>480</v>
      </c>
      <c r="B57" s="185"/>
    </row>
    <row r="58" spans="1:2">
      <c r="A58" s="185" t="s">
        <v>475</v>
      </c>
      <c r="B58" s="185"/>
    </row>
    <row r="59" spans="1:2">
      <c r="A59" s="185" t="s">
        <v>4</v>
      </c>
      <c r="B59" s="185"/>
    </row>
    <row r="60" spans="1:2">
      <c r="A60" s="185" t="s">
        <v>1345</v>
      </c>
      <c r="B60" s="185"/>
    </row>
    <row r="61" spans="1:2">
      <c r="A61" s="185" t="s">
        <v>1354</v>
      </c>
      <c r="B61" s="185"/>
    </row>
    <row r="62" spans="1:2" ht="28.5">
      <c r="A62" s="185" t="s">
        <v>1352</v>
      </c>
      <c r="B62" s="185"/>
    </row>
    <row r="63" spans="1:2">
      <c r="A63" s="185" t="s">
        <v>1350</v>
      </c>
      <c r="B63" s="185"/>
    </row>
    <row r="64" spans="1:2">
      <c r="A64" s="185" t="s">
        <v>1351</v>
      </c>
      <c r="B64" s="185"/>
    </row>
    <row r="65" spans="1:2">
      <c r="A65" s="185" t="s">
        <v>1353</v>
      </c>
      <c r="B65" s="185"/>
    </row>
    <row r="66" spans="1:2">
      <c r="A66" s="185" t="s">
        <v>1355</v>
      </c>
      <c r="B66" s="185"/>
    </row>
    <row r="67" spans="1:2">
      <c r="A67" s="185" t="s">
        <v>1356</v>
      </c>
      <c r="B67" s="185"/>
    </row>
    <row r="68" spans="1:2" ht="28.5">
      <c r="A68" s="185" t="s">
        <v>1787</v>
      </c>
      <c r="B68" s="185"/>
    </row>
    <row r="69" spans="1:2">
      <c r="A69" s="185" t="s">
        <v>1793</v>
      </c>
      <c r="B69" s="185"/>
    </row>
    <row r="70" spans="1:2">
      <c r="A70" s="185" t="s">
        <v>1818</v>
      </c>
      <c r="B70" s="185"/>
    </row>
    <row r="71" spans="1:2">
      <c r="A71" s="185" t="s">
        <v>1819</v>
      </c>
      <c r="B71" s="185"/>
    </row>
    <row r="72" spans="1:2">
      <c r="A72" s="185"/>
      <c r="B72" s="185"/>
    </row>
    <row r="73" spans="1:2">
      <c r="A73" s="185"/>
      <c r="B73" s="185"/>
    </row>
    <row r="74" spans="1:2">
      <c r="A74" s="185"/>
      <c r="B74" s="185"/>
    </row>
    <row r="75" spans="1:2">
      <c r="A75" s="185"/>
      <c r="B75" s="185"/>
    </row>
    <row r="76" spans="1:2">
      <c r="A76" s="185"/>
      <c r="B76" s="185"/>
    </row>
    <row r="77" spans="1:2">
      <c r="A77" s="185"/>
      <c r="B77" s="185"/>
    </row>
    <row r="78" spans="1:2">
      <c r="A78" s="185"/>
      <c r="B78" s="185"/>
    </row>
    <row r="79" spans="1:2">
      <c r="A79" s="185"/>
      <c r="B79" s="185"/>
    </row>
    <row r="80" spans="1:2">
      <c r="A80" s="185"/>
      <c r="B80" s="185"/>
    </row>
    <row r="81" spans="1:2">
      <c r="A81" s="185"/>
      <c r="B81" s="185"/>
    </row>
    <row r="82" spans="1:2">
      <c r="A82" s="185"/>
      <c r="B82" s="185"/>
    </row>
    <row r="83" spans="1:2">
      <c r="A83" s="185"/>
      <c r="B83" s="185"/>
    </row>
    <row r="84" spans="1:2">
      <c r="A84" s="185"/>
      <c r="B84" s="185"/>
    </row>
    <row r="85" spans="1:2">
      <c r="A85" s="185"/>
      <c r="B85" s="185"/>
    </row>
    <row r="86" spans="1:2">
      <c r="A86" s="185"/>
      <c r="B86" s="185"/>
    </row>
    <row r="87" spans="1:2">
      <c r="A87" s="185"/>
      <c r="B87" s="185"/>
    </row>
    <row r="88" spans="1:2">
      <c r="A88" s="185"/>
      <c r="B88" s="185"/>
    </row>
    <row r="89" spans="1:2">
      <c r="A89" s="185"/>
      <c r="B89" s="185"/>
    </row>
    <row r="90" spans="1:2">
      <c r="A90" s="185"/>
      <c r="B90" s="185"/>
    </row>
    <row r="91" spans="1:2">
      <c r="A91" s="185"/>
      <c r="B91" s="185"/>
    </row>
    <row r="92" spans="1:2">
      <c r="A92" s="185"/>
      <c r="B92" s="185"/>
    </row>
    <row r="93" spans="1:2">
      <c r="A93" s="187"/>
      <c r="B93" s="187"/>
    </row>
    <row r="94" spans="1:2">
      <c r="A94" s="187"/>
      <c r="B94" s="187"/>
    </row>
    <row r="95" spans="1:2">
      <c r="A95" s="187"/>
      <c r="B95" s="187"/>
    </row>
    <row r="96" spans="1:2">
      <c r="A96" s="188"/>
      <c r="B96" s="188"/>
    </row>
    <row r="97" spans="1:2">
      <c r="A97" s="189"/>
      <c r="B97" s="189"/>
    </row>
    <row r="98" spans="1:2">
      <c r="A98" s="187"/>
      <c r="B98" s="187"/>
    </row>
    <row r="99" spans="1:2">
      <c r="A99" s="187"/>
      <c r="B99" s="187"/>
    </row>
    <row r="100" spans="1:2">
      <c r="A100" s="187"/>
      <c r="B100" s="187"/>
    </row>
    <row r="101" spans="1:2">
      <c r="A101" s="185"/>
      <c r="B101" s="185"/>
    </row>
    <row r="102" spans="1:2">
      <c r="A102" s="185"/>
      <c r="B102" s="185"/>
    </row>
    <row r="103" spans="1:2">
      <c r="A103" s="185"/>
      <c r="B103" s="185"/>
    </row>
    <row r="104" spans="1:2">
      <c r="A104" s="185"/>
      <c r="B104" s="185"/>
    </row>
    <row r="105" spans="1:2">
      <c r="A105" s="185"/>
      <c r="B105" s="185"/>
    </row>
    <row r="106" spans="1:2">
      <c r="A106" s="185"/>
      <c r="B106" s="185"/>
    </row>
    <row r="107" spans="1:2">
      <c r="A107" s="185"/>
      <c r="B107" s="185"/>
    </row>
    <row r="108" spans="1:2">
      <c r="A108" s="185"/>
      <c r="B108" s="185"/>
    </row>
    <row r="109" spans="1:2">
      <c r="A109" s="185"/>
      <c r="B109" s="185"/>
    </row>
    <row r="110" spans="1:2">
      <c r="A110" s="185"/>
      <c r="B110" s="185"/>
    </row>
    <row r="111" spans="1:2">
      <c r="A111" s="185"/>
      <c r="B111" s="185"/>
    </row>
    <row r="112" spans="1:2">
      <c r="A112" s="185"/>
      <c r="B112" s="185"/>
    </row>
    <row r="113" spans="1:2">
      <c r="A113" s="185"/>
      <c r="B113" s="185"/>
    </row>
    <row r="114" spans="1:2">
      <c r="A114" s="185"/>
      <c r="B114" s="185"/>
    </row>
    <row r="115" spans="1:2">
      <c r="A115" s="185"/>
      <c r="B115" s="185"/>
    </row>
    <row r="116" spans="1:2">
      <c r="A116" s="185"/>
      <c r="B116" s="185"/>
    </row>
    <row r="117" spans="1:2">
      <c r="A117" s="185"/>
      <c r="B117" s="185"/>
    </row>
    <row r="118" spans="1:2">
      <c r="A118" s="185"/>
      <c r="B118" s="185"/>
    </row>
    <row r="119" spans="1:2">
      <c r="A119" s="185"/>
      <c r="B119" s="185"/>
    </row>
    <row r="120" spans="1:2">
      <c r="A120" s="185"/>
      <c r="B120" s="185"/>
    </row>
    <row r="121" spans="1:2">
      <c r="A121" s="185"/>
      <c r="B121" s="185"/>
    </row>
    <row r="122" spans="1:2">
      <c r="A122" s="185"/>
      <c r="B122" s="185"/>
    </row>
    <row r="123" spans="1:2">
      <c r="A123" s="185"/>
      <c r="B123" s="185"/>
    </row>
    <row r="124" spans="1:2">
      <c r="A124" s="185"/>
      <c r="B124" s="185"/>
    </row>
    <row r="125" spans="1:2">
      <c r="A125" s="187"/>
      <c r="B125" s="187"/>
    </row>
    <row r="126" spans="1:2">
      <c r="A126" s="188"/>
      <c r="B126" s="188"/>
    </row>
    <row r="127" spans="1:2">
      <c r="A127" s="189"/>
      <c r="B127" s="189"/>
    </row>
    <row r="128" spans="1:2">
      <c r="A128" s="187"/>
      <c r="B128" s="187"/>
    </row>
    <row r="129" spans="1:2">
      <c r="A129" s="190"/>
      <c r="B129" s="190"/>
    </row>
    <row r="130" spans="1:2">
      <c r="A130" s="190"/>
      <c r="B130" s="190"/>
    </row>
    <row r="131" spans="1:2">
      <c r="A131" s="190"/>
      <c r="B131" s="190"/>
    </row>
    <row r="132" spans="1:2">
      <c r="A132" s="190"/>
      <c r="B132" s="190"/>
    </row>
    <row r="133" spans="1:2">
      <c r="A133" s="187"/>
      <c r="B133" s="187"/>
    </row>
    <row r="134" spans="1:2">
      <c r="A134" s="185"/>
      <c r="B134" s="185"/>
    </row>
    <row r="135" spans="1:2">
      <c r="A135" s="185"/>
      <c r="B135" s="185"/>
    </row>
    <row r="136" spans="1:2">
      <c r="A136" s="185"/>
      <c r="B136" s="185"/>
    </row>
    <row r="137" spans="1:2">
      <c r="A137" s="185"/>
      <c r="B137" s="185"/>
    </row>
    <row r="138" spans="1:2">
      <c r="A138" s="185"/>
      <c r="B138" s="185"/>
    </row>
    <row r="139" spans="1:2">
      <c r="A139" s="185"/>
      <c r="B139" s="185"/>
    </row>
    <row r="140" spans="1:2">
      <c r="A140" s="185"/>
      <c r="B140" s="185"/>
    </row>
    <row r="141" spans="1:2">
      <c r="A141" s="185"/>
      <c r="B141" s="185"/>
    </row>
    <row r="142" spans="1:2">
      <c r="A142" s="185"/>
      <c r="B142" s="185"/>
    </row>
    <row r="143" spans="1:2">
      <c r="A143" s="185"/>
      <c r="B143" s="185"/>
    </row>
    <row r="144" spans="1:2">
      <c r="A144" s="185"/>
      <c r="B144" s="185"/>
    </row>
    <row r="145" spans="1:2">
      <c r="A145" s="185"/>
      <c r="B145" s="185"/>
    </row>
    <row r="146" spans="1:2">
      <c r="A146" s="185"/>
      <c r="B146" s="185"/>
    </row>
    <row r="147" spans="1:2">
      <c r="A147" s="185"/>
      <c r="B147" s="185"/>
    </row>
    <row r="148" spans="1:2">
      <c r="A148" s="185"/>
      <c r="B148" s="185"/>
    </row>
    <row r="149" spans="1:2">
      <c r="A149" s="185"/>
      <c r="B149" s="185"/>
    </row>
    <row r="150" spans="1:2">
      <c r="A150" s="185"/>
      <c r="B150" s="185"/>
    </row>
    <row r="151" spans="1:2">
      <c r="A151" s="185"/>
      <c r="B151" s="185"/>
    </row>
    <row r="152" spans="1:2">
      <c r="A152" s="185"/>
      <c r="B152" s="185"/>
    </row>
    <row r="153" spans="1:2">
      <c r="A153" s="185"/>
      <c r="B153" s="185"/>
    </row>
    <row r="154" spans="1:2">
      <c r="A154" s="185"/>
      <c r="B154" s="185"/>
    </row>
    <row r="155" spans="1:2">
      <c r="A155" s="185"/>
      <c r="B155" s="185"/>
    </row>
    <row r="156" spans="1:2">
      <c r="A156" s="187"/>
      <c r="B156" s="187"/>
    </row>
    <row r="157" spans="1:2">
      <c r="A157" s="190"/>
      <c r="B157" s="190"/>
    </row>
    <row r="158" spans="1:2">
      <c r="A158" s="190"/>
      <c r="B158" s="190"/>
    </row>
    <row r="159" spans="1:2">
      <c r="A159" s="190"/>
      <c r="B159" s="190"/>
    </row>
    <row r="160" spans="1:2">
      <c r="A160" s="187"/>
      <c r="B160" s="187"/>
    </row>
    <row r="161" spans="1:2">
      <c r="A161" s="188"/>
      <c r="B161" s="188"/>
    </row>
    <row r="162" spans="1:2">
      <c r="A162" s="188"/>
      <c r="B162" s="188"/>
    </row>
    <row r="163" spans="1:2">
      <c r="A163" s="187"/>
      <c r="B163" s="187"/>
    </row>
    <row r="164" spans="1:2">
      <c r="A164" s="187"/>
      <c r="B164" s="187"/>
    </row>
    <row r="165" spans="1:2">
      <c r="A165" s="187"/>
      <c r="B165" s="187"/>
    </row>
    <row r="166" spans="1:2">
      <c r="A166" s="187"/>
      <c r="B166" s="187"/>
    </row>
    <row r="167" spans="1:2">
      <c r="A167" s="187"/>
      <c r="B167" s="187"/>
    </row>
    <row r="168" spans="1:2">
      <c r="A168" s="187"/>
      <c r="B168" s="187"/>
    </row>
    <row r="169" spans="1:2">
      <c r="A169" s="188"/>
      <c r="B169" s="188"/>
    </row>
    <row r="170" spans="1:2">
      <c r="A170" s="188"/>
      <c r="B170" s="188"/>
    </row>
    <row r="171" spans="1:2">
      <c r="A171" s="187"/>
      <c r="B171" s="187"/>
    </row>
    <row r="172" spans="1:2">
      <c r="A172" s="190"/>
      <c r="B172" s="190"/>
    </row>
    <row r="173" spans="1:2">
      <c r="A173" s="190"/>
      <c r="B173" s="190"/>
    </row>
    <row r="174" spans="1:2">
      <c r="A174" s="190"/>
      <c r="B174" s="190"/>
    </row>
    <row r="175" spans="1:2">
      <c r="A175" s="191"/>
      <c r="B175" s="191"/>
    </row>
    <row r="176" spans="1:2">
      <c r="A176" s="187"/>
      <c r="B176" s="187"/>
    </row>
    <row r="177" spans="1:2">
      <c r="A177" s="190"/>
      <c r="B177" s="190"/>
    </row>
    <row r="178" spans="1:2">
      <c r="A178" s="190"/>
      <c r="B178" s="190"/>
    </row>
    <row r="179" spans="1:2">
      <c r="A179" s="190"/>
      <c r="B179" s="190"/>
    </row>
    <row r="180" spans="1:2">
      <c r="A180" s="187"/>
      <c r="B180" s="187"/>
    </row>
    <row r="181" spans="1:2">
      <c r="A181" s="190"/>
      <c r="B181" s="190"/>
    </row>
    <row r="182" spans="1:2">
      <c r="A182" s="190"/>
      <c r="B182" s="190"/>
    </row>
    <row r="183" spans="1:2">
      <c r="A183" s="190"/>
      <c r="B183" s="190"/>
    </row>
    <row r="184" spans="1:2">
      <c r="A184" s="190"/>
      <c r="B184" s="190"/>
    </row>
    <row r="185" spans="1:2">
      <c r="A185" s="190"/>
      <c r="B185" s="190"/>
    </row>
    <row r="186" spans="1:2">
      <c r="A186" s="190"/>
      <c r="B186" s="190"/>
    </row>
    <row r="187" spans="1:2">
      <c r="A187" s="190"/>
      <c r="B187" s="190"/>
    </row>
    <row r="188" spans="1:2">
      <c r="A188" s="190"/>
      <c r="B188" s="190"/>
    </row>
    <row r="189" spans="1:2">
      <c r="A189" s="187"/>
      <c r="B189" s="187"/>
    </row>
    <row r="190" spans="1:2">
      <c r="A190" s="187"/>
      <c r="B190" s="187"/>
    </row>
    <row r="191" spans="1:2">
      <c r="A191" s="188"/>
      <c r="B191" s="188"/>
    </row>
    <row r="192" spans="1:2">
      <c r="A192" s="188"/>
      <c r="B192" s="188"/>
    </row>
    <row r="193" spans="1:2">
      <c r="A193" s="187"/>
      <c r="B193" s="187"/>
    </row>
    <row r="194" spans="1:2">
      <c r="A194" s="190"/>
      <c r="B194" s="190"/>
    </row>
    <row r="195" spans="1:2">
      <c r="A195" s="190"/>
      <c r="B195" s="190"/>
    </row>
    <row r="196" spans="1:2">
      <c r="A196" s="190"/>
      <c r="B196" s="190"/>
    </row>
    <row r="197" spans="1:2">
      <c r="A197" s="190"/>
      <c r="B197" s="190"/>
    </row>
    <row r="198" spans="1:2">
      <c r="A198" s="187"/>
      <c r="B198" s="187"/>
    </row>
    <row r="199" spans="1:2">
      <c r="A199" s="188"/>
      <c r="B199" s="188"/>
    </row>
    <row r="200" spans="1:2">
      <c r="A200" s="188"/>
      <c r="B200" s="188"/>
    </row>
    <row r="201" spans="1:2">
      <c r="A201" s="187"/>
      <c r="B201" s="187"/>
    </row>
    <row r="202" spans="1:2">
      <c r="A202" s="190"/>
      <c r="B202" s="190"/>
    </row>
    <row r="203" spans="1:2">
      <c r="A203" s="190"/>
      <c r="B203" s="190"/>
    </row>
    <row r="204" spans="1:2">
      <c r="A204" s="190"/>
      <c r="B204" s="190"/>
    </row>
    <row r="205" spans="1:2">
      <c r="A205" s="187"/>
      <c r="B205" s="187"/>
    </row>
    <row r="206" spans="1:2">
      <c r="A206" s="187"/>
      <c r="B206" s="187"/>
    </row>
    <row r="207" spans="1:2">
      <c r="A207" s="187"/>
      <c r="B207" s="187"/>
    </row>
    <row r="208" spans="1:2">
      <c r="A208" s="188"/>
      <c r="B208" s="188"/>
    </row>
    <row r="209" spans="1:2">
      <c r="A209" s="188"/>
      <c r="B209" s="188"/>
    </row>
    <row r="210" spans="1:2">
      <c r="A210" s="185"/>
      <c r="B210" s="185"/>
    </row>
    <row r="211" spans="1:2">
      <c r="A211" s="185"/>
      <c r="B211" s="185"/>
    </row>
    <row r="212" spans="1:2">
      <c r="A212" s="185"/>
      <c r="B212" s="185"/>
    </row>
    <row r="213" spans="1:2">
      <c r="A213" s="185"/>
      <c r="B213" s="185"/>
    </row>
    <row r="214" spans="1:2">
      <c r="A214" s="185"/>
      <c r="B214" s="185"/>
    </row>
    <row r="215" spans="1:2">
      <c r="A215" s="185"/>
      <c r="B215" s="185"/>
    </row>
    <row r="216" spans="1:2">
      <c r="A216" s="185"/>
      <c r="B216" s="185"/>
    </row>
    <row r="217" spans="1:2">
      <c r="A217" s="185"/>
      <c r="B217" s="185"/>
    </row>
    <row r="218" spans="1:2">
      <c r="A218" s="185"/>
      <c r="B218" s="185"/>
    </row>
    <row r="219" spans="1:2">
      <c r="A219" s="185"/>
      <c r="B219" s="185"/>
    </row>
    <row r="220" spans="1:2">
      <c r="A220" s="185"/>
      <c r="B220" s="185"/>
    </row>
    <row r="221" spans="1:2">
      <c r="A221" s="185"/>
      <c r="B221" s="185"/>
    </row>
    <row r="222" spans="1:2">
      <c r="A222" s="185"/>
      <c r="B222" s="185"/>
    </row>
    <row r="223" spans="1:2">
      <c r="A223" s="185"/>
      <c r="B223" s="185"/>
    </row>
    <row r="224" spans="1:2">
      <c r="A224" s="185"/>
      <c r="B224" s="185"/>
    </row>
    <row r="225" spans="1:2">
      <c r="A225" s="185"/>
      <c r="B225" s="185"/>
    </row>
    <row r="226" spans="1:2">
      <c r="A226" s="185"/>
      <c r="B226" s="185"/>
    </row>
    <row r="227" spans="1:2">
      <c r="A227" s="185"/>
      <c r="B227" s="185"/>
    </row>
    <row r="228" spans="1:2">
      <c r="A228" s="185"/>
      <c r="B228" s="185"/>
    </row>
    <row r="229" spans="1:2">
      <c r="A229" s="185"/>
      <c r="B229" s="185"/>
    </row>
    <row r="230" spans="1:2">
      <c r="A230" s="185"/>
      <c r="B230" s="185"/>
    </row>
    <row r="231" spans="1:2">
      <c r="A231" s="185"/>
      <c r="B231" s="185"/>
    </row>
    <row r="232" spans="1:2">
      <c r="A232" s="185"/>
      <c r="B232" s="185"/>
    </row>
    <row r="233" spans="1:2">
      <c r="A233" s="185"/>
      <c r="B233" s="185"/>
    </row>
    <row r="234" spans="1:2">
      <c r="A234" s="185"/>
      <c r="B234" s="185"/>
    </row>
    <row r="235" spans="1:2">
      <c r="A235" s="185"/>
      <c r="B235" s="185"/>
    </row>
    <row r="236" spans="1:2">
      <c r="A236" s="185"/>
      <c r="B236" s="185"/>
    </row>
    <row r="237" spans="1:2">
      <c r="A237" s="185"/>
      <c r="B237" s="185"/>
    </row>
    <row r="238" spans="1:2">
      <c r="A238" s="185"/>
      <c r="B238" s="185"/>
    </row>
    <row r="239" spans="1:2">
      <c r="A239" s="185"/>
      <c r="B239" s="185"/>
    </row>
    <row r="240" spans="1:2">
      <c r="A240" s="185"/>
      <c r="B240" s="185"/>
    </row>
    <row r="241" spans="1:2">
      <c r="A241" s="185"/>
      <c r="B241" s="185"/>
    </row>
    <row r="242" spans="1:2">
      <c r="A242" s="185"/>
      <c r="B242" s="185"/>
    </row>
    <row r="243" spans="1:2">
      <c r="A243" s="185"/>
      <c r="B243" s="185"/>
    </row>
    <row r="244" spans="1:2">
      <c r="A244" s="185"/>
      <c r="B244" s="185"/>
    </row>
    <row r="245" spans="1:2">
      <c r="A245" s="185"/>
      <c r="B245" s="185"/>
    </row>
    <row r="246" spans="1:2">
      <c r="A246" s="185"/>
      <c r="B246" s="185"/>
    </row>
    <row r="247" spans="1:2">
      <c r="A247" s="185"/>
      <c r="B247" s="185"/>
    </row>
    <row r="248" spans="1:2">
      <c r="A248" s="185"/>
      <c r="B248" s="185"/>
    </row>
    <row r="249" spans="1:2">
      <c r="A249" s="185"/>
      <c r="B249" s="185"/>
    </row>
    <row r="250" spans="1:2">
      <c r="A250" s="185"/>
      <c r="B250" s="185"/>
    </row>
    <row r="251" spans="1:2">
      <c r="A251" s="185"/>
      <c r="B251" s="185"/>
    </row>
    <row r="252" spans="1:2">
      <c r="A252" s="185"/>
      <c r="B252" s="185"/>
    </row>
    <row r="253" spans="1:2">
      <c r="A253" s="185"/>
      <c r="B253" s="185"/>
    </row>
    <row r="254" spans="1:2">
      <c r="A254" s="185"/>
      <c r="B254" s="185"/>
    </row>
    <row r="255" spans="1:2">
      <c r="A255" s="185"/>
      <c r="B255" s="185"/>
    </row>
    <row r="256" spans="1:2">
      <c r="A256" s="185"/>
      <c r="B256" s="185"/>
    </row>
    <row r="257" spans="1:2">
      <c r="A257" s="185"/>
      <c r="B257" s="185"/>
    </row>
    <row r="258" spans="1:2">
      <c r="A258" s="185"/>
      <c r="B258" s="185"/>
    </row>
    <row r="259" spans="1:2">
      <c r="A259" s="185"/>
      <c r="B259" s="185"/>
    </row>
    <row r="260" spans="1:2">
      <c r="A260" s="185"/>
      <c r="B260" s="185"/>
    </row>
    <row r="261" spans="1:2">
      <c r="A261" s="185"/>
      <c r="B261" s="185"/>
    </row>
    <row r="262" spans="1:2">
      <c r="A262" s="185"/>
      <c r="B262" s="185"/>
    </row>
    <row r="263" spans="1:2">
      <c r="A263" s="185"/>
      <c r="B263" s="185"/>
    </row>
    <row r="264" spans="1:2">
      <c r="A264" s="185"/>
      <c r="B264" s="185"/>
    </row>
    <row r="265" spans="1:2">
      <c r="A265" s="185"/>
      <c r="B265" s="185"/>
    </row>
    <row r="266" spans="1:2">
      <c r="A266" s="185"/>
      <c r="B266" s="185"/>
    </row>
    <row r="267" spans="1:2">
      <c r="A267" s="185"/>
      <c r="B267" s="185"/>
    </row>
    <row r="268" spans="1:2">
      <c r="A268" s="185"/>
      <c r="B268" s="185"/>
    </row>
    <row r="269" spans="1:2">
      <c r="A269" s="192"/>
      <c r="B269" s="192"/>
    </row>
    <row r="270" spans="1:2">
      <c r="A270" s="192"/>
      <c r="B270" s="192"/>
    </row>
    <row r="271" spans="1:2">
      <c r="A271" s="192"/>
      <c r="B271" s="192"/>
    </row>
    <row r="272" spans="1:2">
      <c r="A272" s="192"/>
      <c r="B272" s="192"/>
    </row>
    <row r="273" spans="1:2">
      <c r="A273" s="192"/>
      <c r="B273" s="192"/>
    </row>
    <row r="274" spans="1:2">
      <c r="A274" s="192"/>
      <c r="B274" s="192"/>
    </row>
    <row r="275" spans="1:2">
      <c r="A275" s="192"/>
      <c r="B275" s="192"/>
    </row>
    <row r="276" spans="1:2">
      <c r="A276" s="192"/>
      <c r="B276" s="192"/>
    </row>
    <row r="277" spans="1:2">
      <c r="A277" s="192"/>
      <c r="B277" s="192"/>
    </row>
    <row r="278" spans="1:2">
      <c r="A278" s="192"/>
      <c r="B278" s="192"/>
    </row>
    <row r="279" spans="1:2">
      <c r="A279" s="192"/>
      <c r="B279" s="192"/>
    </row>
    <row r="280" spans="1:2">
      <c r="A280" s="192"/>
      <c r="B280" s="192"/>
    </row>
    <row r="281" spans="1:2">
      <c r="A281" s="192"/>
      <c r="B281" s="192"/>
    </row>
    <row r="282" spans="1:2">
      <c r="A282" s="192"/>
      <c r="B282" s="192"/>
    </row>
    <row r="283" spans="1:2">
      <c r="A283" s="192"/>
      <c r="B283" s="192"/>
    </row>
    <row r="284" spans="1:2">
      <c r="A284" s="192"/>
      <c r="B284" s="192"/>
    </row>
    <row r="285" spans="1:2">
      <c r="A285" s="192"/>
      <c r="B285" s="192"/>
    </row>
    <row r="286" spans="1:2">
      <c r="A286" s="193"/>
      <c r="B286" s="193"/>
    </row>
  </sheetData>
  <sheetProtection algorithmName="SHA-512" hashValue="vHY8Go2/wtHADGFh0WscldM1x/+QxLIDJqbdaRYkxc0rqzLe8ILsLYY1KKAgI2VqUsqcUEuLc/0a+1Abg+I4fQ==" saltValue="cJpFIcSRl7Ek+F9xbeRnlA==" spinCount="100000" sheet="1" objects="1" scenarios="1" formatRows="0" selectLockedCells="1"/>
  <pageMargins left="0.75" right="0.75" top="1" bottom="1" header="0.5" footer="0.5"/>
  <pageSetup paperSize="9" orientation="portrait" horizontalDpi="4294967292" verticalDpi="429496729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
  <sheetViews>
    <sheetView workbookViewId="0">
      <selection activeCell="C4" sqref="C4"/>
    </sheetView>
  </sheetViews>
  <sheetFormatPr baseColWidth="10" defaultColWidth="11.3984375" defaultRowHeight="14.25"/>
  <cols>
    <col min="1" max="1" width="121.3984375" customWidth="1"/>
  </cols>
  <sheetData>
    <row r="1" spans="1:1" ht="244.5">
      <c r="A1" s="253" t="str">
        <f>Tags!B72</f>
        <v>The ESPA Worksheet uses Macros. Please enable content or close and reopen with Macros Enabled</v>
      </c>
    </row>
  </sheetData>
  <sheetProtection algorithmName="SHA-512" hashValue="Sf5MiGNFAiH2CI0P1h0ScVJiCvXGElf6gPBCksEwhxa3rIgiPoir+Gygsf0CbttRYpvTgiV7b57uxu12nSBoYQ==" saltValue="5s3yYA0U+4pafy+k4KjYuA==" spinCount="100000" sheet="1" objects="1" scenarios="1" formatRows="0" selectLockedCells="1"/>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C585"/>
  <sheetViews>
    <sheetView workbookViewId="0">
      <selection sqref="A1:C585"/>
    </sheetView>
  </sheetViews>
  <sheetFormatPr baseColWidth="10" defaultColWidth="10.86328125" defaultRowHeight="14.25"/>
  <cols>
    <col min="1" max="1" width="4.86328125" style="6" customWidth="1"/>
    <col min="2" max="2" width="51.86328125" style="6" customWidth="1"/>
    <col min="3" max="3" width="63" style="6" customWidth="1"/>
    <col min="4" max="16384" width="10.86328125" style="6"/>
  </cols>
  <sheetData>
    <row r="1" spans="1:3" ht="25.9" thickBot="1">
      <c r="A1" s="310">
        <v>4</v>
      </c>
      <c r="B1" s="332" t="s">
        <v>2718</v>
      </c>
      <c r="C1" s="333" t="str">
        <f>VLOOKUP(A1,'Languages Available'!A3:B12,2)</f>
        <v>Deutsch</v>
      </c>
    </row>
    <row r="3" spans="1:3" ht="21">
      <c r="A3" s="195" t="s">
        <v>2720</v>
      </c>
      <c r="B3" s="352"/>
      <c r="C3" s="196"/>
    </row>
    <row r="4" spans="1:3">
      <c r="A4" s="320">
        <v>1</v>
      </c>
      <c r="B4" s="184" t="str">
        <f>Languages!D4</f>
        <v>Mandatory Minimum Conditions</v>
      </c>
      <c r="C4" s="184" t="str">
        <f>VLOOKUP(A4,Languages!$A$4:$I$273,3+$A$1)</f>
        <v>Mindestbedingungen</v>
      </c>
    </row>
    <row r="5" spans="1:3">
      <c r="A5" s="200">
        <v>2</v>
      </c>
      <c r="B5" s="185" t="str">
        <f>Languages!D5</f>
        <v>Car park must be for public use</v>
      </c>
      <c r="C5" s="185" t="str">
        <f>VLOOKUP(A5,Languages!$A$4:$I$273,3+$A$1)</f>
        <v>Das Parkhaus muss öffentlich sein</v>
      </c>
    </row>
    <row r="6" spans="1:3" ht="28.5">
      <c r="A6" s="200">
        <v>3</v>
      </c>
      <c r="B6" s="185" t="str">
        <f>Languages!D6</f>
        <v>Minimum headroom = 1.90 m, generally in the public areas. Incidental lower obstacles must be clearly marked.</v>
      </c>
      <c r="C6" s="185" t="str">
        <f>VLOOKUP(A6,Languages!$A$4:$I$273,3+$A$1)</f>
        <v>Mindestdurchfahrtshöhe = 1.90 m im allgemein zugänglichen Bereich. Einzelne niedrigere Hindernisse müssen deutlich gekennzeichnet sein.</v>
      </c>
    </row>
    <row r="7" spans="1:3" ht="28.5">
      <c r="A7" s="200">
        <v>4</v>
      </c>
      <c r="B7" s="185" t="str">
        <f>Languages!D7</f>
        <v>Minimum headroom = 2,00 m, generally in the public areas. Incidental lower obstacles must be clearly marked.</v>
      </c>
      <c r="C7" s="185" t="str">
        <f>VLOOKUP(A7,Languages!$A$4:$I$273,3+$A$1)</f>
        <v>Mindestdurchfahrtshöhe = 2,00 m im allgemein zugänglichen Bereich. Einzelne niedrigere Hindernisse müssen deutlich gekennzeichnet sein.</v>
      </c>
    </row>
    <row r="8" spans="1:3" ht="28.5">
      <c r="A8" s="200">
        <v>5</v>
      </c>
      <c r="B8" s="185" t="str">
        <f>Languages!D8</f>
        <v>There must be at least one dedicated entry and exit lane although additional tidal flow lanes are allowed.</v>
      </c>
      <c r="C8" s="185" t="str">
        <f>VLOOKUP(A8,Languages!$A$4:$I$273,3+$A$1)</f>
        <v>Es müssen getrennte Ein- und Ausfahrtsspuren vorhanden sein. Tageszeitlich in wechselnder Fahrtrichtung genutzte Wechselspuren sind zulässig.</v>
      </c>
    </row>
    <row r="9" spans="1:3" ht="57">
      <c r="A9" s="200">
        <v>6</v>
      </c>
      <c r="B9" s="185" t="str">
        <f>Languages!D9</f>
        <v>70% of bays must be at least 2.30m wide. For renovated car parks, over ten years old, minimum bay width of 2.25m is allowed (in that case a penalty applies - check M8).</v>
      </c>
      <c r="C9" s="185" t="str">
        <f>VLOOKUP(A9,Languages!$A$4:$I$273,3+$A$1)</f>
        <v>70% der Stellplätze müssen mindestens 2,30 m breit sein. Für renovierte Parkhäuser, die älter als 10 Jahre sind, wird ausnahmsweise eine Stellplatzbreite von 2,25 m toleriert. In diesem Fall kommt ein Pauschalabzug zur Anwendung (siehe M8).</v>
      </c>
    </row>
    <row r="10" spans="1:3">
      <c r="A10" s="200">
        <v>7</v>
      </c>
      <c r="B10" s="185" t="str">
        <f>Languages!D10</f>
        <v>70% of bays must be at least 2.40m wide.</v>
      </c>
      <c r="C10" s="185" t="str">
        <f>VLOOKUP(A10,Languages!$A$4:$I$273,3+$A$1)</f>
        <v>70% der Stellplätze müssen mindestens 2,40 m breit sein.</v>
      </c>
    </row>
    <row r="11" spans="1:3" ht="85.5">
      <c r="A11" s="200">
        <v>8</v>
      </c>
      <c r="B11" s="185" t="str">
        <f>Languages!D11</f>
        <v>All straight ramps for  unidirectional traffic must be minimum 2.7 metres wide. Bidirectional ramps must be at least 6m wide with lane markings. Ramp width is measured between walls or pillars</v>
      </c>
      <c r="C11" s="185" t="str">
        <f>VLOOKUP(A11,Languages!$A$4:$I$273,3+$A$1)</f>
        <v xml:space="preserve">Gerade Rampen mit Einrichtungsverkehr müssen mindestens 2,70 m breit sein.
Gerade Gegenverkehrsrampen müssen mindestens 6 m breit sein und eine Fahrbahnmarkierung aufweisen.
Die Breite der Rampen wird zwischen Wänden oder Stützen gemessen.
</v>
      </c>
    </row>
    <row r="12" spans="1:3" ht="71.25">
      <c r="A12" s="200">
        <v>9</v>
      </c>
      <c r="B12" s="185" t="str">
        <f>Languages!D12</f>
        <v xml:space="preserve">Curved ramps for single directional traffic must have an external radius of minimum 8.00 metres with lane width of minimum 3.5 metres. For bidirectional curved ramps this applies for the inner driving lane. The outside driving lane must be minimum 3.5 metres wide as well. </v>
      </c>
      <c r="C12" s="185" t="str">
        <f>VLOOKUP(A12,Languages!$A$4:$I$273,3+$A$1)</f>
        <v>Gekrümmte Rampen mit Einrichtungsverkehr müssen einen Außenradius von mindestens 8,00 m aufweisen und die Fahrbahn muss mindestens 3,50 m breit sein. Bei gekrümmten Rampen mit Gegenverkehr gilt dasselbe für die innere Spur. Die äußere Spur muss ebenfalls mindestens 3,50 m breit sein.</v>
      </c>
    </row>
    <row r="13" spans="1:3" ht="42.75">
      <c r="A13" s="200">
        <v>10</v>
      </c>
      <c r="B13" s="185" t="str">
        <f>Languages!D13</f>
        <v>Ramp gradients must not exceed 20% , to be measured at the middle of driving lane.  At bidirectional curved ramps this applies for the inner (steepest) driving lane.</v>
      </c>
      <c r="C13" s="185" t="str">
        <f>VLOOKUP(A13,Languages!$A$4:$I$273,3+$A$1)</f>
        <v>Das Gefälle von Rampen darf 20 % nicht überschreiten. Es wird in der Fahrbahnachse gemessen. Bei mehrspurigen Rampen gilt dies jeweils für die innere (steilere) Spur.</v>
      </c>
    </row>
    <row r="14" spans="1:3" ht="42.75">
      <c r="A14" s="200">
        <v>11</v>
      </c>
      <c r="B14" s="185" t="str">
        <f>Languages!D14</f>
        <v>If the car park has paid parking and access control by barriers or gates, staff must be contactable at the pay point/exit point and secured pedestrian entries.</v>
      </c>
      <c r="C14" s="185" t="str">
        <f>VLOOKUP(A14,Languages!$A$4:$I$273,3+$A$1)</f>
        <v xml:space="preserve">Bei bewirtschafteten Parkhäusern mit Zugangskontrolle durch Schranken oder Tore muss das Personal an allen Bezahlstationen, Ausfahrten sowie gesicherten Fußgängerzugängen z.B. kontaktierbar sein. </v>
      </c>
    </row>
    <row r="15" spans="1:3">
      <c r="A15" s="200">
        <v>12</v>
      </c>
      <c r="B15" s="185" t="str">
        <f>Languages!D15</f>
        <v>Receipt for payment must be provided when requested.</v>
      </c>
      <c r="C15" s="185" t="str">
        <f>VLOOKUP(A15,Languages!$A$4:$I$273,3+$A$1)</f>
        <v>Ein Zahlungsnachweis muss auf Verlangen herausgegeben werden.</v>
      </c>
    </row>
    <row r="16" spans="1:3" ht="42.75">
      <c r="A16" s="200">
        <v>13</v>
      </c>
      <c r="B16" s="185" t="str">
        <f>Languages!D16</f>
        <v>All turning movements must be capable of being completed without reversing (moving in/out the parking bay and cul-de-sacs excluded)</v>
      </c>
      <c r="C16" s="185" t="str">
        <f>VLOOKUP(A16,Languages!$A$4:$I$273,3+$A$1)</f>
        <v>Alle Kurvenfahrten müssen ohne Zurückstoßen möglich sein (Parkierungsvorgänge und Sackgassen sind hiervon ausgenommen).</v>
      </c>
    </row>
    <row r="17" spans="1:3" ht="28.5">
      <c r="A17" s="200">
        <v>14</v>
      </c>
      <c r="B17" s="185" t="str">
        <f>Languages!D17</f>
        <v>Average light levels on parking area at floor is at minimum 20 Lux</v>
      </c>
      <c r="C17" s="185" t="str">
        <f>VLOOKUP(A17,Languages!$A$4:$I$273,3+$A$1)</f>
        <v>Die durchschnittliche Beleuchtungsstärke am Boden beträgt mindestens 20 Lux.</v>
      </c>
    </row>
    <row r="18" spans="1:3" ht="28.5">
      <c r="A18" s="200">
        <v>15</v>
      </c>
      <c r="B18" s="185" t="str">
        <f>Languages!D18</f>
        <v>Average light levels on parking area at floor is at minimum 50 Lux</v>
      </c>
      <c r="C18" s="185" t="str">
        <f>VLOOKUP(A18,Languages!$A$4:$I$273,3+$A$1)</f>
        <v>Die durchschnittliche Beleuchtungsstärke am Boden beträgt mindestens 50 Lux.</v>
      </c>
    </row>
    <row r="19" spans="1:3">
      <c r="A19" s="200">
        <v>16</v>
      </c>
      <c r="B19" s="185" t="str">
        <f>Languages!D19</f>
        <v>Lighting</v>
      </c>
      <c r="C19" s="185" t="str">
        <f>VLOOKUP(A19,Languages!$A$4:$I$273,3+$A$1)</f>
        <v>Beleuchtung</v>
      </c>
    </row>
    <row r="20" spans="1:3" ht="28.5">
      <c r="A20" s="200">
        <v>17</v>
      </c>
      <c r="B20" s="185" t="str">
        <f>Languages!D20</f>
        <v>Item List (values in Lux, see user manual for measurement)</v>
      </c>
      <c r="C20" s="185" t="str">
        <f>VLOOKUP(A20,Languages!$A$4:$I$273,3+$A$1)</f>
        <v>Positionsliste (Werte in Lux, bezüglich der Messungen siehe Benutzungsanleitung)</v>
      </c>
    </row>
    <row r="21" spans="1:3" ht="57">
      <c r="A21" s="200">
        <v>18</v>
      </c>
      <c r="B21" s="185" t="str">
        <f>Languages!D21</f>
        <v>Vehicular entry area; at floor level
•  Above 200 Lux = 5;
•  Between 75– 200 Lux: 0,04 pt per Lux over 75  
•  Below 75 Lux = 0</v>
      </c>
      <c r="C21" s="185" t="str">
        <f>VLOOKUP(A21,Languages!$A$4:$I$273,3+$A$1)</f>
        <v>Einfahrtsbereich, auf dem Boden
•  über 200 Lux = 5;
•  zwischen 75 - 200 Lux: 0,04 pt pro Lux über 75  
•  weniger als 75 Lux = 0</v>
      </c>
    </row>
    <row r="22" spans="1:3" ht="57">
      <c r="A22" s="200">
        <v>19</v>
      </c>
      <c r="B22" s="185" t="str">
        <f>Languages!D22</f>
        <v>Entry; at 1 m height near ticket-machine
•  Above 200 Lux = 3;
•  Between100– 200 Lux: 0,03 pt per Lux over 100
•  Below 100 Lux = 0</v>
      </c>
      <c r="C22" s="185" t="str">
        <f>VLOOKUP(A22,Languages!$A$4:$I$273,3+$A$1)</f>
        <v>Einfahrt ;  in 1 m Höhe beim Ticketgeber
•  über 200 Lux = 3;
•  zwischen 100 - 200 Lux: 0,03 pt pro Lux über 100
•  weniger als 100 Lux = 0</v>
      </c>
    </row>
    <row r="23" spans="1:3" ht="57">
      <c r="A23" s="200">
        <v>20</v>
      </c>
      <c r="B23" s="185" t="str">
        <f>Languages!D23</f>
        <v>Exit; at 1 m height near barrier/ticket-machine
•  Above 200 Lux = 3;
•  Between100– 200 Lux: 0,03 pt per Lux over 100
•  Below 100 Lux= 0</v>
      </c>
      <c r="C23" s="185" t="str">
        <f>VLOOKUP(A23,Languages!$A$4:$I$273,3+$A$1)</f>
        <v>Ausfahrt ;  in 1 m Höhe beim Ausfahrtskontrollgerät
•  über 200 Lux = 3;
•  zwischen 100 - 200 Lux: 0,03 pt pro Lux über 100
•  weniger als 100 Lux= 0</v>
      </c>
    </row>
    <row r="24" spans="1:3" ht="71.25">
      <c r="A24" s="200">
        <v>21</v>
      </c>
      <c r="B24" s="256" t="str">
        <f>Languages!D24</f>
        <v>At pay-machine; at 1 m height
•  Above 200 Lux =4;
•  Between100– 200 Lux: 0,04 pt per Lux over 100
•  Below 100 Lux= 0;
•  No Pay Machines : same as exit (enter zero if this is the case)</v>
      </c>
      <c r="C24" s="256" t="str">
        <f>VLOOKUP(A24,Languages!$A$4:$I$273,3+$A$1)</f>
        <v>Kassenautomat, in 1 m Höhe (in diesem Fall bitte Null eingeben)
•  über 200 Lux = 4;
•  zwischen 100 - 200 Lux: 0,04 pt pro Lux über 100
•  weniger als 100 Lux = 0;
•  Kein Kassenautomat: wie bei Ausfahrt</v>
      </c>
    </row>
    <row r="25" spans="1:3" ht="71.25">
      <c r="A25" s="200">
        <v>22</v>
      </c>
      <c r="B25" s="256" t="str">
        <f>Languages!D25</f>
        <v>At cashier; at counter height
•  Above 200 Lux =4;
•  Between100– 200 Lux: 0,04 pt per Lux over 100
•  Below 100 Lux= 0;
•  No cashier = 3 (enter zero if this is the case)</v>
      </c>
      <c r="C25" s="256" t="str">
        <f>VLOOKUP(A25,Languages!$A$4:$I$273,3+$A$1)</f>
        <v>An der Kasse, auf Höhe des Tresens
•  über 200 Lux = 4;
•  zwischen 100 - 200 Lux: 0,04 pt pro Lux über 100
•  weniger als 100 Lux = 0;
•  Keine Kasse = 3  (in diesem Fall bitte Null eingeben)</v>
      </c>
    </row>
    <row r="26" spans="1:3" ht="85.5">
      <c r="A26" s="200">
        <v>23</v>
      </c>
      <c r="B26" s="256" t="str">
        <f>Languages!D26</f>
        <v>In elevator; at floor level
•  Above 70 Lux = 4;
•  Between30– 70 Lux: 0,1 pt per Lux over 30
•  Below 30 Lux = 0;
•  Single level without elevator = 3 (enter zero if this is the case)</v>
      </c>
      <c r="C26" s="256" t="str">
        <f>VLOOKUP(A26,Languages!$A$4:$I$273,3+$A$1)</f>
        <v>In Aufzügen, auf dem Boden
•  über 70 Lux = 4;
•  zwischen 30 - 70 Lux: 0,1 pt pro Lux über 30
•  weiniger als 30 Lux = 0;
•  eingeschossiges Parkhaus ohne Aufzug = 3  (in diesem Fall bitte Null eingeben)</v>
      </c>
    </row>
    <row r="27" spans="1:3" ht="71.25">
      <c r="A27" s="200">
        <v>24</v>
      </c>
      <c r="B27" s="185" t="str">
        <f>Languages!D27</f>
        <v>In staircases and all other exclusive pedestrian routes; at floor level
•  Above 90 Lux = 3;
•  Between30– 90 Lux: 0,05 pt per Lux over 30
•  Below 30 Lux = 0;</v>
      </c>
      <c r="C27" s="185" t="str">
        <f>VLOOKUP(A27,Languages!$A$4:$I$273,3+$A$1)</f>
        <v>In Treppenhäusern und anderen ausgewiesenen Fußgängerbereichen
•  über 90 Lux = 3;
•  zwischen 30 - 90 Lux: 0,05 pt pro Lux über 30
•  weniger als 30 Lux = 0;</v>
      </c>
    </row>
    <row r="28" spans="1:3" ht="85.5">
      <c r="A28" s="200">
        <v>25</v>
      </c>
      <c r="B28" s="185" t="str">
        <f>Languages!D28</f>
        <v>Light levels on parking area at floor level: (plesase fill grid below) 
Average light level of grid:
•  Above 100 Lux= 10;
•  Between20– 100 Lux: 0,125 pt per Lux over 20 
•  Below 20 Lux= 0</v>
      </c>
      <c r="C28" s="185" t="str">
        <f>VLOOKUP(A28,Languages!$A$4:$I$273,3+$A$1)</f>
        <v>Beleuchtung der Parkebenen auf dem Boden: (bitte Raster unten eintragen) 
mittlere Beleuchtungsstärke innerhalb des Rasters:
•  über 100 Lux = 10;
•  zwischen 20 - 100 Lux: 0,125 pt pro Lux über 20 
•  weniger als 20 Lux= 0</v>
      </c>
    </row>
    <row r="29" spans="1:3" ht="57">
      <c r="A29" s="200">
        <v>26</v>
      </c>
      <c r="B29" s="185" t="str">
        <f>Languages!D29</f>
        <v>Uniformity of light levels in grid as standard deviation
•  Under 25% of avg light level = 10;
•  Between25– 50%: 0,4 pt per % under 50%
•  Above 50% =  0</v>
      </c>
      <c r="C29" s="185" t="str">
        <f>VLOOKUP(A29,Languages!$A$4:$I$273,3+$A$1)</f>
        <v>Gleichmäßigkeit der Beleuchtung (Standardabweichung)
•  weniger als 25% der mittleren Beleuchtungsstärke = 10;
•  zwischen  25 - 50%: 0,4 pt pro % unter 50%
•  über 50% =  0</v>
      </c>
    </row>
    <row r="30" spans="1:3">
      <c r="A30" s="200">
        <v>27</v>
      </c>
      <c r="B30" s="185" t="str">
        <f>Languages!D30</f>
        <v>Auxiliary Grid for 2.8</v>
      </c>
      <c r="C30" s="185" t="str">
        <f>VLOOKUP(A30,Languages!$A$4:$I$273,3+$A$1)</f>
        <v>Hilfsraster 2.8</v>
      </c>
    </row>
    <row r="31" spans="1:3">
      <c r="A31" s="200">
        <v>28</v>
      </c>
      <c r="B31" s="185" t="str">
        <f>Languages!D31</f>
        <v>end of parking space under/between light fitting</v>
      </c>
      <c r="C31" s="185" t="str">
        <f>VLOOKUP(A31,Languages!$A$4:$I$273,3+$A$1)</f>
        <v>Ende des Parkplatzes unter/zwischen Beleuchtungspunkten</v>
      </c>
    </row>
    <row r="32" spans="1:3">
      <c r="A32" s="200">
        <v>29</v>
      </c>
      <c r="B32" s="185" t="str">
        <f>Languages!D32</f>
        <v>halfway parking space under/between light fitting</v>
      </c>
      <c r="C32" s="185" t="str">
        <f>VLOOKUP(A32,Languages!$A$4:$I$273,3+$A$1)</f>
        <v>Mitte des Parkplatzes unter/zwischen Beleuchtungspunkten</v>
      </c>
    </row>
    <row r="33" spans="1:3">
      <c r="A33" s="200">
        <v>30</v>
      </c>
      <c r="B33" s="185" t="str">
        <f>Languages!D33</f>
        <v>edge of driveway under/between light fitting</v>
      </c>
      <c r="C33" s="185" t="str">
        <f>VLOOKUP(A33,Languages!$A$4:$I$273,3+$A$1)</f>
        <v>Fahrbahnrand unter/zwischen Beleuchtungspunkten</v>
      </c>
    </row>
    <row r="34" spans="1:3">
      <c r="A34" s="200">
        <v>31</v>
      </c>
      <c r="B34" s="185" t="str">
        <f>Languages!D34</f>
        <v>center of driveway under/between light fitting</v>
      </c>
      <c r="C34" s="185" t="str">
        <f>VLOOKUP(A34,Languages!$A$4:$I$273,3+$A$1)</f>
        <v>Fahrbahnmitte unter/zwischen Beleuchtungspunkten</v>
      </c>
    </row>
    <row r="35" spans="1:3">
      <c r="A35" s="200">
        <v>32</v>
      </c>
      <c r="B35" s="185" t="str">
        <f>Languages!D35</f>
        <v>other edge of driveway under/between light fitting</v>
      </c>
      <c r="C35" s="185" t="str">
        <f>VLOOKUP(A35,Languages!$A$4:$I$273,3+$A$1)</f>
        <v>Anderer Fahrbahnrand unter/zwischen Beleuchtungspunkten</v>
      </c>
    </row>
    <row r="36" spans="1:3">
      <c r="A36" s="200">
        <v>33</v>
      </c>
      <c r="B36" s="185" t="str">
        <f>Languages!D36</f>
        <v>Car Entry / Car Exit</v>
      </c>
      <c r="C36" s="185" t="str">
        <f>VLOOKUP(A36,Languages!$A$4:$I$273,3+$A$1)</f>
        <v>Einfahrt / Ausfahrt</v>
      </c>
    </row>
    <row r="37" spans="1:3">
      <c r="A37" s="200">
        <v>34</v>
      </c>
      <c r="B37" s="185" t="str">
        <f>Languages!D37</f>
        <v>Car park headroom limit identified at entrance</v>
      </c>
      <c r="C37" s="185" t="str">
        <f>VLOOKUP(A37,Languages!$A$4:$I$273,3+$A$1)</f>
        <v>An der Einfahrt angezeigte Durchfahrtshöhe</v>
      </c>
    </row>
    <row r="38" spans="1:3">
      <c r="A38" s="200">
        <v>35</v>
      </c>
      <c r="B38" s="185" t="str">
        <f>Languages!D38</f>
        <v>Correct sign at entrance</v>
      </c>
      <c r="C38" s="185" t="str">
        <f>VLOOKUP(A38,Languages!$A$4:$I$273,3+$A$1)</f>
        <v>Ordnungsgemäßes Zeichen an der Einfahrt</v>
      </c>
    </row>
    <row r="39" spans="1:3">
      <c r="A39" s="200">
        <v>36</v>
      </c>
      <c r="B39" s="185" t="str">
        <f>Languages!D39</f>
        <v>Height barrier</v>
      </c>
      <c r="C39" s="185" t="str">
        <f>VLOOKUP(A39,Languages!$A$4:$I$273,3+$A$1)</f>
        <v>Höhenbegrenzungsbalken</v>
      </c>
    </row>
    <row r="40" spans="1:3">
      <c r="A40" s="200">
        <v>37</v>
      </c>
      <c r="B40" s="185" t="str">
        <f>Languages!D40</f>
        <v>Rubber lip to prevent damage</v>
      </c>
      <c r="C40" s="185" t="str">
        <f>VLOOKUP(A40,Languages!$A$4:$I$273,3+$A$1)</f>
        <v>Gummilippe am Höhenbegrenzungsbalken</v>
      </c>
    </row>
    <row r="41" spans="1:3" ht="42.75">
      <c r="A41" s="200">
        <v>38</v>
      </c>
      <c r="B41" s="185" t="str">
        <f>Languages!D41</f>
        <v>Height:
(The car park should receive one point for each 10cm of height above 1.90m up to 2.20 m)</v>
      </c>
      <c r="C41" s="185" t="str">
        <f>VLOOKUP(A41,Languages!$A$4:$I$273,3+$A$1)</f>
        <v>Durchfahrtshöhe:
(Das Parkhaus erhält 1 Punkt pro 10 cm Durchfahrtshöhe über 1,90 m und 2,20 m)</v>
      </c>
    </row>
    <row r="42" spans="1:3" ht="57">
      <c r="A42" s="200">
        <v>39</v>
      </c>
      <c r="B42" s="185" t="str">
        <f>Languages!D42</f>
        <v>Traffic signs to define limitations in use of facility.
• Clear signing = 3
• Incomplete signing = 2
• No signing = 0)</v>
      </c>
      <c r="C42" s="185" t="str">
        <f>VLOOKUP(A42,Languages!$A$4:$I$273,3+$A$1)</f>
        <v>Verkehrszeichen für Nutzungsbegrenzungen
(vollständige und eindeutige Beschilderung = 3, Beschilderung unvollständig = 2, keine Beschilderung = 0)</v>
      </c>
    </row>
    <row r="43" spans="1:3">
      <c r="A43" s="200">
        <v>40</v>
      </c>
      <c r="B43" s="185" t="str">
        <f>Languages!D43</f>
        <v>Information on:</v>
      </c>
      <c r="C43" s="185" t="str">
        <f>VLOOKUP(A43,Languages!$A$4:$I$273,3+$A$1)</f>
        <v>Information bezüglich:</v>
      </c>
    </row>
    <row r="44" spans="1:3">
      <c r="A44" s="200">
        <v>41</v>
      </c>
      <c r="B44" s="185" t="str">
        <f>Languages!D44</f>
        <v>Operators terms &amp; conditions within the car park:</v>
      </c>
      <c r="C44" s="185" t="str">
        <f>VLOOKUP(A44,Languages!$A$4:$I$273,3+$A$1)</f>
        <v>Einstellbedingungen des Betreibers innerhalb des Parkhauses</v>
      </c>
    </row>
    <row r="45" spans="1:3">
      <c r="A45" s="200">
        <v>42</v>
      </c>
      <c r="B45" s="185" t="str">
        <f>Languages!D45</f>
        <v>Daily opening hours:</v>
      </c>
      <c r="C45" s="185" t="str">
        <f>VLOOKUP(A45,Languages!$A$4:$I$273,3+$A$1)</f>
        <v>Öffnungszeiten</v>
      </c>
    </row>
    <row r="46" spans="1:3">
      <c r="A46" s="200">
        <v>43</v>
      </c>
      <c r="B46" s="185" t="str">
        <f>Languages!D46</f>
        <v>Scale of tariffs:</v>
      </c>
      <c r="C46" s="185" t="str">
        <f>VLOOKUP(A46,Languages!$A$4:$I$273,3+$A$1)</f>
        <v>Parktarife</v>
      </c>
    </row>
    <row r="47" spans="1:3">
      <c r="A47" s="200">
        <v>44</v>
      </c>
      <c r="B47" s="185" t="str">
        <f>Languages!D47</f>
        <v>Readibility of tariff system:</v>
      </c>
      <c r="C47" s="185" t="str">
        <f>VLOOKUP(A47,Languages!$A$4:$I$273,3+$A$1)</f>
        <v>Verständlichkeit der Parktarife</v>
      </c>
    </row>
    <row r="48" spans="1:3">
      <c r="A48" s="200">
        <v>45</v>
      </c>
      <c r="B48" s="185" t="str">
        <f>Languages!D48</f>
        <v>Design entry/exit area</v>
      </c>
      <c r="C48" s="185" t="str">
        <f>VLOOKUP(A48,Languages!$A$4:$I$273,3+$A$1)</f>
        <v>Bauliche Ausbildung der Ein-/Ausfahrt</v>
      </c>
    </row>
    <row r="49" spans="1:3">
      <c r="A49" s="200">
        <v>46</v>
      </c>
      <c r="B49" s="185" t="str">
        <f>Languages!D49</f>
        <v>Entry ticket- machine easy to reach:</v>
      </c>
      <c r="C49" s="185" t="str">
        <f>VLOOKUP(A49,Languages!$A$4:$I$273,3+$A$1)</f>
        <v>Einfahrt: Ticketgeber gut zu erreichen</v>
      </c>
    </row>
    <row r="50" spans="1:3">
      <c r="A50" s="200">
        <v>47</v>
      </c>
      <c r="B50" s="185" t="str">
        <f>Languages!D50</f>
        <v>Exit ticket- machine easy to reach:</v>
      </c>
      <c r="C50" s="185" t="str">
        <f>VLOOKUP(A50,Languages!$A$4:$I$273,3+$A$1)</f>
        <v>Ausfahrt: Ausfahrtskontrollgerät gut zu erreichen</v>
      </c>
    </row>
    <row r="51" spans="1:3">
      <c r="A51" s="200">
        <v>48</v>
      </c>
      <c r="B51" s="185" t="str">
        <f>Languages!D51</f>
        <v>Longitudinal slope at the ticket machines</v>
      </c>
      <c r="C51" s="185" t="str">
        <f>VLOOKUP(A51,Languages!$A$4:$I$273,3+$A$1)</f>
        <v>Längsgefälle im Bereich der Ticketgeber und Ausfahrtskontrollgeräte</v>
      </c>
    </row>
    <row r="52" spans="1:3" ht="57">
      <c r="A52" s="200">
        <v>49</v>
      </c>
      <c r="B52" s="185" t="str">
        <f>Languages!D52</f>
        <v>Entry lane:
• 0-2% (car doesn’t move without brake) = 1
• 2-5% = 0
• Above 5% = -1</v>
      </c>
      <c r="C52" s="185" t="str">
        <f>VLOOKUP(A52,Languages!$A$4:$I$273,3+$A$1)</f>
        <v>Einfart:
(0-2% (das Fahrzeug bleibt auch ohne Bremse stehen) = 1, 2-5% = 0, über 5% = -1)</v>
      </c>
    </row>
    <row r="53" spans="1:3" ht="57">
      <c r="A53" s="200">
        <v>50</v>
      </c>
      <c r="B53" s="185" t="str">
        <f>Languages!D53</f>
        <v>Exit lane:
• 0-2% (car doesn’t move without brake) = 1
• 2-5% = 0
• Above 5% = -1</v>
      </c>
      <c r="C53" s="185" t="str">
        <f>VLOOKUP(A53,Languages!$A$4:$I$273,3+$A$1)</f>
        <v>Ausfahrt:
(0-2% (das Fahrzeug bleibt auch ohne Bremse stehen) = 1, 2-5% = 0, über 5% = -1)</v>
      </c>
    </row>
    <row r="54" spans="1:3" ht="42.75">
      <c r="A54" s="200">
        <v>51</v>
      </c>
      <c r="B54" s="185" t="str">
        <f>Languages!D54</f>
        <v>Kerb design to avoid damage to average vehicle’s wheels:
(Yes = 2, No protection = 0, No kerbs in entry/exit area = 2)</v>
      </c>
      <c r="C54" s="185" t="str">
        <f>VLOOKUP(A54,Languages!$A$4:$I$273,3+$A$1)</f>
        <v xml:space="preserve">Schrammbordausbildung zum Schutz vor Beschädigung der Reifen und Felgen:
(ja = 2, kein Schutz = 0, keine Schrammborde im Ein-Ausfahrtsbereich = 2)
</v>
      </c>
    </row>
    <row r="55" spans="1:3" ht="28.5">
      <c r="A55" s="200">
        <v>52</v>
      </c>
      <c r="B55" s="185" t="str">
        <f>Languages!D55</f>
        <v>Anti slip surfaces access/egress ramps:
(Anti slip = 1, Slippery when wet = 0)</v>
      </c>
      <c r="C55" s="185" t="str">
        <f>VLOOKUP(A55,Languages!$A$4:$I$273,3+$A$1)</f>
        <v>Rutschfeste Oberfläche im Ein-/Ausfahrtsbereich:
(rutschfest = 1, rutschig wenn nass = 0)</v>
      </c>
    </row>
    <row r="56" spans="1:3">
      <c r="A56" s="200">
        <v>53</v>
      </c>
      <c r="B56" s="185" t="str">
        <f>Languages!D56</f>
        <v>Access security</v>
      </c>
      <c r="C56" s="185" t="str">
        <f>VLOOKUP(A56,Languages!$A$4:$I$273,3+$A$1)</f>
        <v>Zugangskontrolle</v>
      </c>
    </row>
    <row r="57" spans="1:3">
      <c r="A57" s="200">
        <v>54</v>
      </c>
      <c r="B57" s="185" t="str">
        <f>Languages!D57</f>
        <v>Barrier</v>
      </c>
      <c r="C57" s="185" t="str">
        <f>VLOOKUP(A57,Languages!$A$4:$I$273,3+$A$1)</f>
        <v>Schranke</v>
      </c>
    </row>
    <row r="58" spans="1:3">
      <c r="A58" s="200">
        <v>55</v>
      </c>
      <c r="B58" s="185" t="str">
        <f>Languages!D58</f>
        <v>Intercom</v>
      </c>
      <c r="C58" s="185" t="str">
        <f>VLOOKUP(A58,Languages!$A$4:$I$273,3+$A$1)</f>
        <v>Sprechstelle</v>
      </c>
    </row>
    <row r="59" spans="1:3">
      <c r="A59" s="200">
        <v>56</v>
      </c>
      <c r="B59" s="185" t="str">
        <f>Languages!D59</f>
        <v>CCTV</v>
      </c>
      <c r="C59" s="185" t="str">
        <f>VLOOKUP(A59,Languages!$A$4:$I$273,3+$A$1)</f>
        <v>Videoüberwachung</v>
      </c>
    </row>
    <row r="60" spans="1:3">
      <c r="A60" s="200">
        <v>57</v>
      </c>
      <c r="B60" s="185" t="str">
        <f>Languages!D60</f>
        <v>Licence Plate Recognition</v>
      </c>
      <c r="C60" s="185" t="str">
        <f>VLOOKUP(A60,Languages!$A$4:$I$273,3+$A$1)</f>
        <v>Kennzeichenerkennung</v>
      </c>
    </row>
    <row r="61" spans="1:3">
      <c r="A61" s="200">
        <v>58</v>
      </c>
      <c r="B61" s="185" t="str">
        <f>Languages!D61</f>
        <v>Full height fast closing gates</v>
      </c>
      <c r="C61" s="185" t="str">
        <f>VLOOKUP(A61,Languages!$A$4:$I$273,3+$A$1)</f>
        <v>Schnelllauftore über die ganze Höhe</v>
      </c>
    </row>
    <row r="62" spans="1:3">
      <c r="A62" s="200">
        <v>59</v>
      </c>
      <c r="B62" s="185" t="str">
        <f>Languages!D62</f>
        <v>Staffed access(Entry or exit)</v>
      </c>
      <c r="C62" s="185" t="str">
        <f>VLOOKUP(A62,Languages!$A$4:$I$273,3+$A$1)</f>
        <v>Bemannte Einfahrt/Ausfahrt</v>
      </c>
    </row>
    <row r="63" spans="1:3" ht="28.5">
      <c r="A63" s="200">
        <v>60</v>
      </c>
      <c r="B63" s="185" t="str">
        <f>Languages!D63</f>
        <v>Entry/Exit of the building: width between structure (per lane)
(&lt; 3 m =0, 3 – 3.3 m =1, &gt; 3.3 m = 2)</v>
      </c>
      <c r="C63" s="185" t="str">
        <f>VLOOKUP(A63,Languages!$A$4:$I$273,3+$A$1)</f>
        <v>Durchfahrtsbreite zwischen Bauteilen im Bereich der Einfahrt/Ausfahrt
(&lt; 3 m =0, 3 – 3.3 m =1, &gt; 3.3 m = 2)</v>
      </c>
    </row>
    <row r="64" spans="1:3" ht="28.5">
      <c r="A64" s="200">
        <v>61</v>
      </c>
      <c r="B64" s="185" t="str">
        <f>Languages!D64</f>
        <v>Exit: exit slope ends at least 5 meters before crossing traffic (pedestrians/cyclists):</v>
      </c>
      <c r="C64" s="185" t="str">
        <f>VLOOKUP(A64,Languages!$A$4:$I$273,3+$A$1)</f>
        <v>Ausfahrt: die Gefällestrecke endet mindestens 5 m vor dem kreuzenden Verkehr (Fußgänger/Radfahrer).</v>
      </c>
    </row>
    <row r="65" spans="1:3">
      <c r="A65" s="200">
        <v>62</v>
      </c>
      <c r="B65" s="185" t="str">
        <f>Languages!D65</f>
        <v>subtotal  car entry/exit</v>
      </c>
      <c r="C65" s="185" t="str">
        <f>VLOOKUP(A65,Languages!$A$4:$I$273,3+$A$1)</f>
        <v>Zwischensumme Einfahrt/Ausfahrt</v>
      </c>
    </row>
    <row r="66" spans="1:3">
      <c r="A66" s="200">
        <v>63</v>
      </c>
      <c r="B66" s="185" t="str">
        <f>Languages!D66</f>
        <v>Parking Area</v>
      </c>
      <c r="C66" s="185" t="str">
        <f>VLOOKUP(A66,Languages!$A$4:$I$273,3+$A$1)</f>
        <v>Parkebenen</v>
      </c>
    </row>
    <row r="67" spans="1:3" ht="71.25">
      <c r="A67" s="200">
        <v>64</v>
      </c>
      <c r="B67" s="185" t="str">
        <f>Languages!D67</f>
        <v>Pillar placement for at least 85% of bays:
• does not intrude into the parking area = 8 
• at beginning of stall = 0
• next to car door = 0
• at back of stall but intrudes into the parking area = 4</v>
      </c>
      <c r="C67" s="185" t="str">
        <f>VLOOKUP(A67,Languages!$A$4:$I$273,3+$A$1)</f>
        <v>Stützen im Bereich von mindestens 85 % der Stellplätze:
(keine Beeinträchtigung des Stellplätze = 8, am Beginn der Stellplätze = 0, nahe der Fahrzeugtür = 0, am Ende aber mit Beeinträchtigung des Stellplatzes = 4)</v>
      </c>
    </row>
    <row r="68" spans="1:3" ht="28.5">
      <c r="A68" s="200">
        <v>65</v>
      </c>
      <c r="B68" s="185" t="str">
        <f>Languages!D68</f>
        <v>Visibility (many/few dead corners, walls in the car park etc.)
Good=4, Medium=2 or Bad=0</v>
      </c>
      <c r="C68" s="185" t="str">
        <f>VLOOKUP(A68,Languages!$A$4:$I$273,3+$A$1)</f>
        <v>Übersichtlichkeit (viele/wenige tote Winkel, Wände in der Parkebene,etc.)
gut=4, mittel=2, schlecht=0</v>
      </c>
    </row>
    <row r="69" spans="1:3">
      <c r="A69" s="200">
        <v>66</v>
      </c>
      <c r="B69" s="185" t="str">
        <f>Languages!D69</f>
        <v>Signage for car driver:</v>
      </c>
      <c r="C69" s="185" t="str">
        <f>VLOOKUP(A69,Languages!$A$4:$I$273,3+$A$1)</f>
        <v>Beschilderung für den Fahrverkehr</v>
      </c>
    </row>
    <row r="70" spans="1:3">
      <c r="A70" s="200">
        <v>67</v>
      </c>
      <c r="B70" s="185" t="str">
        <f>Languages!D70</f>
        <v>Do traffic signs conform to national road code?</v>
      </c>
      <c r="C70" s="185" t="str">
        <f>VLOOKUP(A70,Languages!$A$4:$I$273,3+$A$1)</f>
        <v>Sind die Verkehrszeichen konform mit den nationalen Vorschriften?</v>
      </c>
    </row>
    <row r="71" spans="1:3" ht="28.5">
      <c r="A71" s="200">
        <v>68</v>
      </c>
      <c r="B71" s="185" t="str">
        <f>Languages!D71</f>
        <v xml:space="preserve">Routing and turn signs: Is signage clear, complete and unambiguous? </v>
      </c>
      <c r="C71" s="185" t="str">
        <f>VLOOKUP(A71,Languages!$A$4:$I$273,3+$A$1)</f>
        <v>Wegweisung: Ist die Beschilderung leicht sichtbar, vollständig und unmissverständlich?</v>
      </c>
    </row>
    <row r="72" spans="1:3">
      <c r="A72" s="200">
        <v>69</v>
      </c>
      <c r="B72" s="185" t="str">
        <f>Languages!D72</f>
        <v>Complete ?</v>
      </c>
      <c r="C72" s="185" t="str">
        <f>VLOOKUP(A72,Languages!$A$4:$I$273,3+$A$1)</f>
        <v>Vollständig?</v>
      </c>
    </row>
    <row r="73" spans="1:3">
      <c r="A73" s="200">
        <v>70</v>
      </c>
      <c r="B73" s="185" t="str">
        <f>Languages!D73</f>
        <v>Easy to see ?</v>
      </c>
      <c r="C73" s="185" t="str">
        <f>VLOOKUP(A73,Languages!$A$4:$I$273,3+$A$1)</f>
        <v>Leicht zu sehen?</v>
      </c>
    </row>
    <row r="74" spans="1:3">
      <c r="A74" s="200">
        <v>71</v>
      </c>
      <c r="B74" s="185" t="str">
        <f>Languages!D74</f>
        <v>Unambiguous ?</v>
      </c>
      <c r="C74" s="185" t="str">
        <f>VLOOKUP(A74,Languages!$A$4:$I$273,3+$A$1)</f>
        <v>Unmissverständlich?</v>
      </c>
    </row>
    <row r="75" spans="1:3" ht="28.5">
      <c r="A75" s="200">
        <v>72</v>
      </c>
      <c r="B75" s="185" t="str">
        <f>Languages!D75</f>
        <v xml:space="preserve">Exit signs in the car park: Is signage clear, complete and unambiguous? </v>
      </c>
      <c r="C75" s="185" t="str">
        <f>VLOOKUP(A75,Languages!$A$4:$I$273,3+$A$1)</f>
        <v>Ausfahrtsbeschilderung: Ist die Beschilderung leicht sichtbar, vollständig und unmissverständlich?</v>
      </c>
    </row>
    <row r="76" spans="1:3">
      <c r="A76" s="200">
        <v>73</v>
      </c>
      <c r="B76" s="185" t="str">
        <f>Languages!D76</f>
        <v>Complete ?</v>
      </c>
      <c r="C76" s="185" t="str">
        <f>VLOOKUP(A76,Languages!$A$4:$I$273,3+$A$1)</f>
        <v>Vollständig?</v>
      </c>
    </row>
    <row r="77" spans="1:3">
      <c r="A77" s="200">
        <v>74</v>
      </c>
      <c r="B77" s="185" t="str">
        <f>Languages!D77</f>
        <v>Easy to see ?</v>
      </c>
      <c r="C77" s="185" t="str">
        <f>VLOOKUP(A77,Languages!$A$4:$I$273,3+$A$1)</f>
        <v>Leicht zu sehen?</v>
      </c>
    </row>
    <row r="78" spans="1:3">
      <c r="A78" s="200">
        <v>75</v>
      </c>
      <c r="B78" s="185" t="str">
        <f>Languages!D78</f>
        <v>Unambiguous ?</v>
      </c>
      <c r="C78" s="185" t="str">
        <f>VLOOKUP(A78,Languages!$A$4:$I$273,3+$A$1)</f>
        <v>Unmissverständlich?</v>
      </c>
    </row>
    <row r="79" spans="1:3">
      <c r="A79" s="200">
        <v>76</v>
      </c>
      <c r="B79" s="185" t="str">
        <f>Languages!D79</f>
        <v>Parking bay marks</v>
      </c>
      <c r="C79" s="185" t="str">
        <f>VLOOKUP(A79,Languages!$A$4:$I$273,3+$A$1)</f>
        <v>Stellplatzmarkierung</v>
      </c>
    </row>
    <row r="80" spans="1:3">
      <c r="A80" s="200">
        <v>77</v>
      </c>
      <c r="B80" s="185" t="str">
        <f>Languages!D80</f>
        <v>Parking bays are clearly marked ?</v>
      </c>
      <c r="C80" s="185" t="str">
        <f>VLOOKUP(A80,Languages!$A$4:$I$273,3+$A$1)</f>
        <v>Sind die Stellplätze deutlich markiert?</v>
      </c>
    </row>
    <row r="81" spans="1:3" ht="28.5">
      <c r="A81" s="200">
        <v>78</v>
      </c>
      <c r="B81" s="185" t="str">
        <f>Languages!D81</f>
        <v>Bay markings extend up walls to assist driver ?</v>
      </c>
      <c r="C81" s="185" t="str">
        <f>VLOOKUP(A81,Languages!$A$4:$I$273,3+$A$1)</f>
        <v>Sind die Markierungen bis auf die Wand verlängert um das Einparken zu erleichtern?</v>
      </c>
    </row>
    <row r="82" spans="1:3">
      <c r="A82" s="200">
        <v>79</v>
      </c>
      <c r="B82" s="185" t="str">
        <f>Languages!D82</f>
        <v>Are Road Markings:</v>
      </c>
      <c r="C82" s="185" t="str">
        <f>VLOOKUP(A82,Languages!$A$4:$I$273,3+$A$1)</f>
        <v>Sind die Fahrbahnmarkierungen:</v>
      </c>
    </row>
    <row r="83" spans="1:3">
      <c r="A83" s="200">
        <v>80</v>
      </c>
      <c r="B83" s="185" t="str">
        <f>Languages!D83</f>
        <v>Complete ?</v>
      </c>
      <c r="C83" s="185" t="str">
        <f>VLOOKUP(A83,Languages!$A$4:$I$273,3+$A$1)</f>
        <v>Vollständig?</v>
      </c>
    </row>
    <row r="84" spans="1:3">
      <c r="A84" s="200">
        <v>81</v>
      </c>
      <c r="B84" s="185" t="str">
        <f>Languages!D84</f>
        <v>Easy to see ?</v>
      </c>
      <c r="C84" s="185" t="str">
        <f>VLOOKUP(A84,Languages!$A$4:$I$273,3+$A$1)</f>
        <v>Leicht zu sehen?</v>
      </c>
    </row>
    <row r="85" spans="1:3">
      <c r="A85" s="200">
        <v>82</v>
      </c>
      <c r="B85" s="185" t="str">
        <f>Languages!D85</f>
        <v>Unambiguous ?</v>
      </c>
      <c r="C85" s="185" t="str">
        <f>VLOOKUP(A85,Languages!$A$4:$I$273,3+$A$1)</f>
        <v>Unmissverständlich?</v>
      </c>
    </row>
    <row r="86" spans="1:3" ht="28.5">
      <c r="A86" s="200">
        <v>83</v>
      </c>
      <c r="B86" s="185" t="str">
        <f>Languages!D86</f>
        <v>Availability of spaces for disabled with wheelchair access anounced at the entrance the car park:</v>
      </c>
      <c r="C86" s="185" t="str">
        <f>VLOOKUP(A86,Languages!$A$4:$I$273,3+$A$1)</f>
        <v>Wird die Verfügbarkeit von Stellplätzen für Rollstuhlfahrer an der Einfahrt angezeigt?</v>
      </c>
    </row>
    <row r="87" spans="1:3">
      <c r="A87" s="200">
        <v>84</v>
      </c>
      <c r="B87" s="185" t="str">
        <f>Languages!D87</f>
        <v>Accessible for wheelchair ?</v>
      </c>
      <c r="C87" s="185" t="str">
        <f>VLOOKUP(A87,Languages!$A$4:$I$273,3+$A$1)</f>
        <v>Zugänglich für Rollstühle?</v>
      </c>
    </row>
    <row r="88" spans="1:3">
      <c r="A88" s="200">
        <v>85</v>
      </c>
      <c r="B88" s="185" t="str">
        <f>Languages!D88</f>
        <v>Bays minimum 3.5 m wide ?</v>
      </c>
      <c r="C88" s="185" t="str">
        <f>VLOOKUP(A88,Languages!$A$4:$I$273,3+$A$1)</f>
        <v>Sind die Plätze mindestens 3.50 m breit?</v>
      </c>
    </row>
    <row r="89" spans="1:3">
      <c r="A89" s="200">
        <v>86</v>
      </c>
      <c r="B89" s="185" t="str">
        <f>Languages!D89</f>
        <v>Close to pedestrian exit ?</v>
      </c>
      <c r="C89" s="185" t="str">
        <f>VLOOKUP(A89,Languages!$A$4:$I$273,3+$A$1)</f>
        <v>Sind sie Nahe am Ausgang?</v>
      </c>
    </row>
    <row r="90" spans="1:3">
      <c r="A90" s="200">
        <v>87</v>
      </c>
      <c r="B90" s="185" t="str">
        <f>Languages!D90</f>
        <v>Guidance to disabled spaces ?</v>
      </c>
      <c r="C90" s="185" t="str">
        <f>VLOOKUP(A90,Languages!$A$4:$I$273,3+$A$1)</f>
        <v>Gibt es eine Hinweisbeschilderung zu den Stellplätzen für Behinderte?</v>
      </c>
    </row>
    <row r="91" spans="1:3" ht="28.5">
      <c r="A91" s="200">
        <v>88</v>
      </c>
      <c r="B91" s="185" t="str">
        <f>Languages!D91</f>
        <v>Parking angle at 85 % of bays:
(Angle 76-90° = 0, Angle  45-75° = 2)</v>
      </c>
      <c r="C91" s="185" t="str">
        <f>VLOOKUP(A91,Languages!$A$4:$I$273,3+$A$1)</f>
        <v>Aufstellwinkel für 85% der Stellplätze (Winkel 76-90° = 0, Winkel  45-75° = 2)</v>
      </c>
    </row>
    <row r="92" spans="1:3" ht="114">
      <c r="A92" s="200">
        <v>89</v>
      </c>
      <c r="B92" s="185" t="str">
        <f>Languages!D92</f>
        <v>Width of bays (85 % of bays), A or B: 
A: Parking angle 76 – 90 degrees
(2.25m = -5, 2.30m = 0, 2.35m = 2, 2.40m = 4, 2.45m = 6, 2.50m = 8) 
B: Parking angle 45-75 degrees
(2.25m = -5, 2.30m = 1, 2.35m = 3, 2.40m = 5, 2.45m = 8)
Width of 2.25m only applies for renovated car parks, new car parks must be minimum 2.30m</v>
      </c>
      <c r="C92" s="185" t="str">
        <f>VLOOKUP(A92,Languages!$A$4:$I$273,3+$A$1)</f>
        <v>Stellplatzbreite (85 % der Stellplätze), A oder B: 
A: Aufstellwinkel zwischen 76 – 90 Grad
(2.25m = -5, 2.30m = 0, 2.35m = 2, 2.40m = 4, 2.45m = 6, 2.50m = 8) 
B: Aufstellwinkel zwischen 45-75 degrés
(2.25m = -5, 2.30m = 1, 2.35m = 3, 2.40m = 5, 2.45m = 8)
Die Breite von 2.25m ist nur bei über 10 Jahre alten renovierten Parkhäusern zulässig. Neue Parkhäuser müssen eine Stellplatzbreite von mindestens 2.30m aufweisen.</v>
      </c>
    </row>
    <row r="93" spans="1:3" ht="270.75">
      <c r="A93" s="200">
        <v>90</v>
      </c>
      <c r="B93" s="185" t="str">
        <f>Languages!D93</f>
        <v>Total unit measure of one way isle width and
depth of two parking bays, depending on parking angle and bay width:
Bay width: 2.50m / 2.45m / 2.40m / 2.35m / 2.30m
90° :           16.00 /  16.30 /  16.60 /  16.90 / 17.30
85° :           15.70 /  16.00 /  16.30 /  16.60 / 16.95
80° :           15.40 /  15.70 /  16.00 /  16.30 / 16.60
75° :           14.95 /  15.25 /  15.55 /  15.85 / 16.15
70° :           14.50 /  14.80 /  15.10 /  15.40 / 15.70
65° :           14.40 /  14.40 /  14.55 /  14.80 / 15.10
60° :           14.30 /  14.30 /  14.30 /  14.30 / 14.50
55° :           14.00 /  14.00 /  14.00 /  14.00 / 14.10
50° :           13.75 /  13.75 /  13.75 /  13.75 / 13.75
45° :           13.50 /  13.50 /  13.50 /  13.50 / 13.50
Total unit measure as above qualifies for 3 points. 
Up to 30 cm less qualifies for 2 points
Up to 60 cm less qualifies for 1 point
More than 60 cm less: no points given</v>
      </c>
      <c r="C93" s="185" t="str">
        <f>VLOOKUP(A93,Languages!$A$4:$I$273,3+$A$1)</f>
        <v xml:space="preserve">Parkgassenbreite  (Fahrbahn plus 2 Stellplätze) in Abhängigkeit der Stellplatzbreite und des Aufstellwinkels:
Stellplatzbreite: 2.50m / 2.45m / 2.40m / 2.35m / 2.30m
90° :                   16.00 /  16.30 /  16.60 /  16.90 / 17.30
85° :                   15.70 /  16.00 /  16.30 /  16.60 / 16.95
80° :                   15.40 /  15.70 /  16.00 /  16.30 / 16.60
75° :                   14.95 /  15.25 /  15.55 /  15.85 / 16.15
70° :                   14.50 /  14.80 /  15.10 /  15.40 / 15.70
65° :                   14.40 /  14.40 /  14.55 /  14.80 / 15.10
60° :                   14.30 /  14.30 /  14.30 /  14.30 / 14.50
55° :                   14.00 /  14.00 /  14.00 /  14.00 / 14.10
50° :                   13.75 /  13.75 /  13.75 /  13.75 / 13.75
45° :                   13.50 /  13.50 /  13.50 /  13.50 / 13.50
Breiten wie oben aufgeführt erhalten 3 Punkte. 
Breiten bis zu 30 cm weniger erhalten 2 Punkte
Breiten bis zu 60 cm weniger erhalten 1 Punkte
Über 60 cm weniger: 0 Punkte
</v>
      </c>
    </row>
    <row r="94" spans="1:3" ht="42.75">
      <c r="A94" s="200">
        <v>91</v>
      </c>
      <c r="B94" s="185" t="str">
        <f>Languages!D94</f>
        <v>Kerb design to avoid damage to average vehicle’s wheels
•  Yes = 2, No protection = 0</v>
      </c>
      <c r="C94" s="185" t="str">
        <f>VLOOKUP(A94,Languages!$A$4:$I$273,3+$A$1)</f>
        <v>Bauliche Ausbildung der Schrammborde zum Schutz vor Beschädigungen der Reifen und Felgen:
•  Ja = 2, kein Schutz = 0</v>
      </c>
    </row>
    <row r="95" spans="1:3">
      <c r="A95" s="200">
        <v>92</v>
      </c>
      <c r="B95" s="185" t="str">
        <f>Languages!D95</f>
        <v>Vehicle Ramps</v>
      </c>
      <c r="C95" s="185" t="str">
        <f>VLOOKUP(A95,Languages!$A$4:$I$273,3+$A$1)</f>
        <v>Fahrzeugrampen</v>
      </c>
    </row>
    <row r="96" spans="1:3" ht="28.5">
      <c r="A96" s="200">
        <v>93</v>
      </c>
      <c r="B96" s="185" t="str">
        <f>Languages!D96</f>
        <v>Is this a Single level car park without vehicular ramps or ramper floor?</v>
      </c>
      <c r="C96" s="185" t="str">
        <f>VLOOKUP(A96,Languages!$A$4:$I$273,3+$A$1)</f>
        <v>Handelt es sich um ein 1-geschossiges Parkhaus ohne Rampen oder geneigte Parkebenen?</v>
      </c>
    </row>
    <row r="97" spans="1:3" ht="25.5">
      <c r="A97" s="200">
        <v>94</v>
      </c>
      <c r="B97" s="187" t="str">
        <f>Languages!D97</f>
        <v>Ramp surface between parking areas (Anti slip 1, Smooth 0, no ramps 1)</v>
      </c>
      <c r="C97" s="187" t="str">
        <f>VLOOKUP(A97,Languages!$A$4:$I$273,3+$A$1)</f>
        <v>Oberflächenausbildung der Rampe zwischen den Parkebenen (rutschhemmend 1; glatt 0, keine Rampen 1)</v>
      </c>
    </row>
    <row r="98" spans="1:3" ht="38.25">
      <c r="A98" s="200">
        <v>95</v>
      </c>
      <c r="B98" s="187" t="str">
        <f>Languages!D98</f>
        <v>Ramp longitudinal gradient connecting ramps (not used for parking)
•  &lt;10%=3, 10-15%=1, &gt;15%=0, no ramps=3</v>
      </c>
      <c r="C98" s="187" t="str">
        <f>VLOOKUP(A98,Languages!$A$4:$I$273,3+$A$1)</f>
        <v>Gefälle der Geschoßverbindungsrampen (keine Parkrampen)
•  &lt;10%=3, 10-15%=1, &gt;15%=0, keine Rampen=3</v>
      </c>
    </row>
    <row r="99" spans="1:3" ht="25.5">
      <c r="A99" s="200">
        <v>96</v>
      </c>
      <c r="B99" s="187" t="str">
        <f>Languages!D99</f>
        <v xml:space="preserve">Ramp width (between kerbs) all ramps measured at narrowest point </v>
      </c>
      <c r="C99" s="187" t="str">
        <f>VLOOKUP(A99,Languages!$A$4:$I$273,3+$A$1)</f>
        <v>Rampenbreite (zwischen Schrammborden), gemessen am engsten Punkt der Rampen</v>
      </c>
    </row>
    <row r="100" spans="1:3" ht="25.5">
      <c r="A100" s="200">
        <v>97</v>
      </c>
      <c r="B100" s="188" t="str">
        <f>Languages!D100</f>
        <v>Curved ramps must be 1 m wider for same score. Are the ramps curbed?</v>
      </c>
      <c r="C100" s="188" t="str">
        <f>VLOOKUP(A100,Languages!$A$4:$I$273,3+$A$1)</f>
        <v>Gekrümmte Rampen müssen für dieselbe Punktzahl um 1m breiter sein? Sind die Rampen gekrümmt?</v>
      </c>
    </row>
    <row r="101" spans="1:3" ht="27">
      <c r="A101" s="200">
        <v>98</v>
      </c>
      <c r="B101" s="189" t="str">
        <f>Languages!D101</f>
        <v>Please choose width. &lt; 3m=0, 3-3.3m=1, &gt;3.3m=2, no ramps=2</v>
      </c>
      <c r="C101" s="189" t="str">
        <f>VLOOKUP(A101,Languages!$A$4:$I$273,3+$A$1)</f>
        <v>Breite &lt; 3m=0, 3-3.3m=1, &gt;3.3m=2, keine Rampen=2</v>
      </c>
    </row>
    <row r="102" spans="1:3" ht="38.25">
      <c r="A102" s="200">
        <v>99</v>
      </c>
      <c r="B102" s="187" t="str">
        <f>Languages!D102</f>
        <v>Ramp curvature (external radius) curved ramps
•  up to 9m=0, 9–10 m=1, &gt;10m=2, no ramps=2
At dual way ramps this measure refers to the inner lane.</v>
      </c>
      <c r="C102" s="187" t="str">
        <f>VLOOKUP(A102,Languages!$A$4:$I$273,3+$A$1)</f>
        <v>Rampenradius (Außenradius)
•  bis 9m=0, 9–10 m=1, &gt;10m=2, keine Rampen=2
Bei mehrspurigen Rampen gelten diese Angaben für die innere Spur.</v>
      </c>
    </row>
    <row r="103" spans="1:3" ht="25.5">
      <c r="A103" s="200">
        <v>100</v>
      </c>
      <c r="B103" s="187" t="str">
        <f>Languages!D103</f>
        <v>Approach curve to straight ramps
•  &lt;7.5m=0, 7.5–9m=1, &gt;9m=2, no ramps=2</v>
      </c>
      <c r="C103" s="187" t="str">
        <f>VLOOKUP(A103,Languages!$A$4:$I$273,3+$A$1)</f>
        <v>Eingangskurve zu geraden Rampen
•  &lt;7.5m=0, 7.5–9m=1, &gt;9m=2, keine Rampen=2</v>
      </c>
    </row>
    <row r="104" spans="1:3" ht="25.5">
      <c r="A104" s="200">
        <v>101</v>
      </c>
      <c r="B104" s="187" t="str">
        <f>Languages!D104</f>
        <v>Ramped parking floor longitudinal gradient
•  &lt;5%=3, 5-7 =1, &gt;7%=0, no gradient=3</v>
      </c>
      <c r="C104" s="187" t="str">
        <f>VLOOKUP(A104,Languages!$A$4:$I$273,3+$A$1)</f>
        <v>Gefälle von Parkrampen (geneigte Parkebenen)
•  &lt;5%=3, 5-7 =1, &gt;7%=0, kein Gefälle =3</v>
      </c>
    </row>
    <row r="105" spans="1:3">
      <c r="A105" s="200">
        <v>102</v>
      </c>
      <c r="B105" s="185" t="str">
        <f>Languages!D105</f>
        <v>Pedestrian Access</v>
      </c>
      <c r="C105" s="185" t="str">
        <f>VLOOKUP(A105,Languages!$A$4:$I$273,3+$A$1)</f>
        <v>Fußgängereingang</v>
      </c>
    </row>
    <row r="106" spans="1:3">
      <c r="A106" s="200">
        <v>103</v>
      </c>
      <c r="B106" s="185" t="str">
        <f>Languages!D106</f>
        <v>Item List</v>
      </c>
      <c r="C106" s="185" t="str">
        <f>VLOOKUP(A106,Languages!$A$4:$I$273,3+$A$1)</f>
        <v>Positionsliste</v>
      </c>
    </row>
    <row r="107" spans="1:3" ht="71.25">
      <c r="A107" s="200">
        <v>104</v>
      </c>
      <c r="B107" s="185" t="str">
        <f>Languages!D107</f>
        <v>Headroom for pedestrians - excluding doors
• &lt;2.00m = 0
• 2.00m – 2.10m = 1
• 2.10m – 2.20m = 2
• &gt; 2.20m = 3</v>
      </c>
      <c r="C107" s="185" t="str">
        <f>VLOOKUP(A107,Languages!$A$4:$I$273,3+$A$1)</f>
        <v>Durchgangshöhe für Fußgänger (Türen ausgenommen)
(&lt;2.00m = 0, 2.00m – 2.10m = 1, 2.10m – 2.20m = 2, &gt; 2.20m = 3)</v>
      </c>
    </row>
    <row r="108" spans="1:3" ht="28.5">
      <c r="A108" s="200">
        <v>105</v>
      </c>
      <c r="B108" s="185" t="str">
        <f>Languages!D108</f>
        <v>Separate walking route (i.e. heightened; zebra stripes or colours) (yes = 2, no = 0)</v>
      </c>
      <c r="C108" s="185" t="str">
        <f>VLOOKUP(A108,Languages!$A$4:$I$273,3+$A$1)</f>
        <v>Ausgewiesene Fußwege (z.B.: baulich erhöht, Zebrastreifen oder farbig) (ja = 2, nein = 0)</v>
      </c>
    </row>
    <row r="109" spans="1:3" ht="42.75">
      <c r="A109" s="200">
        <v>106</v>
      </c>
      <c r="B109" s="185" t="str">
        <f>Languages!D109</f>
        <v>Are pedestrian entrance doors easy to use?
(Yes, automatic or open connection = 4, Easy to open = 2, No = 0)</v>
      </c>
      <c r="C109" s="185" t="str">
        <f>VLOOKUP(A109,Languages!$A$4:$I$273,3+$A$1)</f>
        <v>Sind die Türen für Fußgänger leicht zu öffnen ?
(Ja, Automatiktüren oder offene Verbindung = 4, leicht zu öffnen = 2, nein = 0)</v>
      </c>
    </row>
    <row r="110" spans="1:3" ht="28.5">
      <c r="A110" s="200">
        <v>107</v>
      </c>
      <c r="B110" s="185" t="str">
        <f>Languages!D110</f>
        <v>Pedestrian access controlled by ticket/pass card when car park open (Yes=1, No=0)</v>
      </c>
      <c r="C110" s="185" t="str">
        <f>VLOOKUP(A110,Languages!$A$4:$I$273,3+$A$1)</f>
        <v>Ist der Fußgängereingang auch während der Öffnungszeiten mit einem Kartenleser gesichert ? (Ja=2,Nein=0)</v>
      </c>
    </row>
    <row r="111" spans="1:3" ht="42.75">
      <c r="A111" s="200">
        <v>108</v>
      </c>
      <c r="B111" s="185" t="str">
        <f>Languages!D111</f>
        <v>City plan a central location in car park:
(On Every pedestrian exit = 2, One location = 1, No = 0)</v>
      </c>
      <c r="C111" s="185" t="str">
        <f>VLOOKUP(A111,Languages!$A$4:$I$273,3+$A$1)</f>
        <v xml:space="preserve">Liegt ein Stadtplan an einem zentralen Punkt des Parkhauses aus ?:
(An jedem Fußgängerausgang= 2, An einer anderen Stelle = 1, Nein = 0)
</v>
      </c>
    </row>
    <row r="112" spans="1:3">
      <c r="A112" s="200">
        <v>109</v>
      </c>
      <c r="B112" s="185" t="str">
        <f>Languages!D112</f>
        <v>Guidance:</v>
      </c>
      <c r="C112" s="185" t="str">
        <f>VLOOKUP(A112,Languages!$A$4:$I$273,3+$A$1)</f>
        <v>Wegweisung:</v>
      </c>
    </row>
    <row r="113" spans="1:3" ht="28.5">
      <c r="A113" s="200">
        <v>110</v>
      </c>
      <c r="B113" s="185" t="str">
        <f>Languages!D113</f>
        <v>to key attractions around the car park at pedestrian exit (Yes=1, No=0):</v>
      </c>
      <c r="C113" s="185" t="str">
        <f>VLOOKUP(A113,Languages!$A$4:$I$273,3+$A$1)</f>
        <v>Zu wichtigen Zielen außerhalb des Parkhauses (Ja=1, Nein=0):</v>
      </c>
    </row>
    <row r="114" spans="1:3">
      <c r="A114" s="200">
        <v>111</v>
      </c>
      <c r="B114" s="185" t="str">
        <f>Languages!D114</f>
        <v>around the car park to pedestrian entrances (Yes=1, No=0):</v>
      </c>
      <c r="C114" s="185" t="str">
        <f>VLOOKUP(A114,Languages!$A$4:$I$273,3+$A$1)</f>
        <v>In der Umgebung des Parkhauses zu den Eingängen (Ja=1, Nein=0):</v>
      </c>
    </row>
    <row r="115" spans="1:3" ht="28.5">
      <c r="A115" s="200">
        <v>112</v>
      </c>
      <c r="B115" s="185" t="str">
        <f>Languages!D115</f>
        <v>Is this a Single level car park at ground floor, (not open surface) ?</v>
      </c>
      <c r="C115" s="185" t="str">
        <f>VLOOKUP(A115,Languages!$A$4:$I$273,3+$A$1)</f>
        <v>Handelt es sich um ein 1-geschossiges Parkhaus auf Erdgeschoßniveau (keine offener Parkplatz)?</v>
      </c>
    </row>
    <row r="116" spans="1:3">
      <c r="A116" s="200">
        <v>113</v>
      </c>
      <c r="B116" s="185" t="str">
        <f>Languages!D116</f>
        <v>Is there elevators serving street level?</v>
      </c>
      <c r="C116" s="185" t="str">
        <f>VLOOKUP(A116,Languages!$A$4:$I$273,3+$A$1)</f>
        <v>Fahren der/die Aufzüge das Erdgeschoß/Straßenniveau an?</v>
      </c>
    </row>
    <row r="117" spans="1:3" ht="28.5">
      <c r="A117" s="200">
        <v>114</v>
      </c>
      <c r="B117" s="185" t="str">
        <f>Languages!D117</f>
        <v>Number of Elevators at street level:
(1 elevator = 1, 2 + elevators = 5)</v>
      </c>
      <c r="C117" s="185" t="str">
        <f>VLOOKUP(A117,Languages!$A$4:$I$273,3+$A$1)</f>
        <v>Anzahl der Aufzüge, welche das Erdgeschoß/Straßenniveau  anfahren:
(1 Aufzug = 1, 2 Aufzüge oder mehr = 5)</v>
      </c>
    </row>
    <row r="118" spans="1:3" ht="28.5">
      <c r="A118" s="200">
        <v>115</v>
      </c>
      <c r="B118" s="185" t="str">
        <f>Languages!D118</f>
        <v>Size of elevators:
(More Than 8 people = 3, 4-8 people = 1, less than 4 = 0)</v>
      </c>
      <c r="C118" s="185" t="str">
        <f>VLOOKUP(A118,Languages!$A$4:$I$273,3+$A$1)</f>
        <v>Größe der Aufzüge:
(über 8 Personen = 3, 4-8 Personen = 1, weniger als 4 Personen= 0)</v>
      </c>
    </row>
    <row r="119" spans="1:3" ht="42.75">
      <c r="A119" s="200">
        <v>116</v>
      </c>
      <c r="B119" s="185" t="str">
        <f>Languages!D119</f>
        <v>Visibility from elevator inside to hall/parking area
(no visibility from elevator = 0, glazed doors/walls = 3, no elevator = 0)</v>
      </c>
      <c r="C119" s="185" t="str">
        <f>VLOOKUP(A119,Languages!$A$4:$I$273,3+$A$1)</f>
        <v>Sichtverbindung zwischen Aufzug und Vorraum/Parkebene :
(Keine Sichtverbindung = 0, Türen/Schachtwände verglast = 3, kein Aufzug = 0)</v>
      </c>
    </row>
    <row r="120" spans="1:3">
      <c r="A120" s="200">
        <v>117</v>
      </c>
      <c r="B120" s="185" t="str">
        <f>Languages!D120</f>
        <v>Level indication:</v>
      </c>
      <c r="C120" s="185" t="str">
        <f>VLOOKUP(A120,Languages!$A$4:$I$273,3+$A$1)</f>
        <v>Anzeige der Etage</v>
      </c>
    </row>
    <row r="121" spans="1:3">
      <c r="A121" s="200">
        <v>118</v>
      </c>
      <c r="B121" s="185" t="str">
        <f>Languages!D121</f>
        <v>in elevator:</v>
      </c>
      <c r="C121" s="185" t="str">
        <f>VLOOKUP(A121,Languages!$A$4:$I$273,3+$A$1)</f>
        <v>Im Aufzug</v>
      </c>
    </row>
    <row r="122" spans="1:3">
      <c r="A122" s="200">
        <v>119</v>
      </c>
      <c r="B122" s="185" t="str">
        <f>Languages!D122</f>
        <v>in elevator foyer:</v>
      </c>
      <c r="C122" s="185" t="str">
        <f>VLOOKUP(A122,Languages!$A$4:$I$273,3+$A$1)</f>
        <v>Im Aufzugvorraum</v>
      </c>
    </row>
    <row r="123" spans="1:3" ht="28.5">
      <c r="A123" s="200">
        <v>120</v>
      </c>
      <c r="B123" s="185" t="str">
        <f>Languages!D123</f>
        <v>Elevator control buttons at wheelchair height
•  Yes = 1, Other = 0</v>
      </c>
      <c r="C123" s="185" t="str">
        <f>VLOOKUP(A123,Languages!$A$4:$I$273,3+$A$1)</f>
        <v>Bedienelemente im Aufzug in behindertengerechter Höhe?
•  Ja = 1, andere = 0</v>
      </c>
    </row>
    <row r="124" spans="1:3">
      <c r="A124" s="200">
        <v>121</v>
      </c>
      <c r="B124" s="185" t="str">
        <f>Languages!D124</f>
        <v>Doors directly to parking area</v>
      </c>
      <c r="C124" s="185" t="str">
        <f>VLOOKUP(A124,Languages!$A$4:$I$273,3+$A$1)</f>
        <v>Verbindungstüren zu den Parkebenen</v>
      </c>
    </row>
    <row r="125" spans="1:3">
      <c r="A125" s="200">
        <v>122</v>
      </c>
      <c r="B125" s="185" t="str">
        <f>Languages!D125</f>
        <v>Width (&lt;90 cm =0, &gt;=90 cm = 2)</v>
      </c>
      <c r="C125" s="185" t="str">
        <f>VLOOKUP(A125,Languages!$A$4:$I$273,3+$A$1)</f>
        <v>Lichte Breite (&lt;90 cm =0, &gt;=90 cm = 2)</v>
      </c>
    </row>
    <row r="126" spans="1:3">
      <c r="A126" s="200">
        <v>123</v>
      </c>
      <c r="B126" s="185" t="str">
        <f>Languages!D126</f>
        <v>Emergency door, standard open (Yes=2, No= 0)</v>
      </c>
      <c r="C126" s="185" t="str">
        <f>VLOOKUP(A126,Languages!$A$4:$I$273,3+$A$1)</f>
        <v>Fluchttüren, standardmässig offen (ja=2, nein= 0)</v>
      </c>
    </row>
    <row r="127" spans="1:3">
      <c r="A127" s="200">
        <v>124</v>
      </c>
      <c r="B127" s="185" t="str">
        <f>Languages!D127</f>
        <v>Visibility (Glazed door/wall = 3, No Glass = 0)</v>
      </c>
      <c r="C127" s="185" t="str">
        <f>VLOOKUP(A127,Languages!$A$4:$I$273,3+$A$1)</f>
        <v>Sichtbeziehung (verglaste Türen/Wände = 3, kein Glas = 0)</v>
      </c>
    </row>
    <row r="128" spans="1:3" ht="28.5">
      <c r="A128" s="200">
        <v>125</v>
      </c>
      <c r="B128" s="185" t="str">
        <f>Languages!D128</f>
        <v>Are elevators the main vertical connection? (stairs only secondary or escape)</v>
      </c>
      <c r="C128" s="185" t="str">
        <f>VLOOKUP(A128,Languages!$A$4:$I$273,3+$A$1)</f>
        <v>Sind Aufzüge die wichtigste Geschoßverbindung? (Treppen nur zweitrangig oder zur Entfluchtung)</v>
      </c>
    </row>
    <row r="129" spans="1:3">
      <c r="A129" s="200">
        <v>126</v>
      </c>
      <c r="B129" s="187" t="str">
        <f>Languages!D129</f>
        <v>Stairwells (visibility and orientation)</v>
      </c>
      <c r="C129" s="187" t="str">
        <f>VLOOKUP(A129,Languages!$A$4:$I$273,3+$A$1)</f>
        <v>Treppenhäuser (Übersichtlichkeit und Orientierung)</v>
      </c>
    </row>
    <row r="130" spans="1:3">
      <c r="A130" s="200">
        <v>127</v>
      </c>
      <c r="B130" s="188" t="str">
        <f>Languages!D130</f>
        <v>Clear View (Yes = 1, No = 0, Irrelevant = 1)</v>
      </c>
      <c r="C130" s="188" t="str">
        <f>VLOOKUP(A130,Languages!$A$4:$I$273,3+$A$1)</f>
        <v>Übersichtlich  (ja= 1, nein = 0, unzutreffend = 1)</v>
      </c>
    </row>
    <row r="131" spans="1:3">
      <c r="A131" s="200">
        <v>128</v>
      </c>
      <c r="B131" s="189" t="str">
        <f>Languages!D131</f>
        <v>Level Indication (Yes = 1, No = 0, Irrelevant = 1)</v>
      </c>
      <c r="C131" s="189" t="str">
        <f>VLOOKUP(A131,Languages!$A$4:$I$273,3+$A$1)</f>
        <v>Geschoßkennzeichnung (ja = 1, nein = 0, unzutreffend = 1)</v>
      </c>
    </row>
    <row r="132" spans="1:3">
      <c r="A132" s="200">
        <v>129</v>
      </c>
      <c r="B132" s="187" t="str">
        <f>Languages!D132</f>
        <v>Stairs (incl. heightened visibility of steps)</v>
      </c>
      <c r="C132" s="187" t="str">
        <f>VLOOKUP(A132,Languages!$A$4:$I$273,3+$A$1)</f>
        <v>Treppen (einschließlich verbesserte Sichtbarkeit von Stufen)</v>
      </c>
    </row>
    <row r="133" spans="1:3">
      <c r="A133" s="200">
        <v>130</v>
      </c>
      <c r="B133" s="190" t="str">
        <f>Languages!D133</f>
        <v>Width (&lt; 1.5 m = 0, &gt; 1.5m = 2)</v>
      </c>
      <c r="C133" s="190" t="str">
        <f>VLOOKUP(A133,Languages!$A$4:$I$273,3+$A$1)</f>
        <v>Breite (&lt; 1.5 m = 0, &gt; 1.5m = 2)</v>
      </c>
    </row>
    <row r="134" spans="1:3">
      <c r="A134" s="200">
        <v>131</v>
      </c>
      <c r="B134" s="190" t="str">
        <f>Languages!D134</f>
        <v>Hand Rails (No hand rail =0, One Side = 1, Two sides=2)</v>
      </c>
      <c r="C134" s="190" t="str">
        <f>VLOOKUP(A134,Languages!$A$4:$I$273,3+$A$1)</f>
        <v>Handläufe (Kein Handlauf = 0, einseitig = 1, beidseitig = 2)</v>
      </c>
    </row>
    <row r="135" spans="1:3" ht="25.5">
      <c r="A135" s="200">
        <v>132</v>
      </c>
      <c r="B135" s="190" t="str">
        <f>Languages!D135</f>
        <v>Heightened visibility of steps for people with poor eyesight (Yes = 2, No = 0)</v>
      </c>
      <c r="C135" s="190" t="str">
        <f>VLOOKUP(A135,Languages!$A$4:$I$273,3+$A$1)</f>
        <v>Verbesserte Sichtbarkeit von Stufen für Personen mit eingeschränkter Sehstärke (ja = 2, nein = 0)</v>
      </c>
    </row>
    <row r="136" spans="1:3">
      <c r="A136" s="200">
        <v>133</v>
      </c>
      <c r="B136" s="190" t="str">
        <f>Languages!D136</f>
        <v>Anti-slip surfacing on stairs: (Yes = 2, No = 0)</v>
      </c>
      <c r="C136" s="190" t="str">
        <f>VLOOKUP(A136,Languages!$A$4:$I$273,3+$A$1)</f>
        <v>Rutschfester Belag auf den Stufen (ja = 2, nein = 0)</v>
      </c>
    </row>
    <row r="137" spans="1:3" ht="38.25">
      <c r="A137" s="200">
        <v>134</v>
      </c>
      <c r="B137" s="187" t="str">
        <f>Languages!D137</f>
        <v>External openings in stairwell
(window/grilled to outside or car park  =2, none =0)</v>
      </c>
      <c r="C137" s="187" t="str">
        <f>VLOOKUP(A137,Languages!$A$4:$I$273,3+$A$1)</f>
        <v>Öffnungen in Treppenhauswänden
(Fenster oder vergitterte Öffnungen ins Freie oder zu den Parkebenen = 2, keine Öffnungen = 0)</v>
      </c>
    </row>
    <row r="138" spans="1:3">
      <c r="A138" s="200">
        <v>135</v>
      </c>
      <c r="B138" s="185" t="str">
        <f>Languages!D138</f>
        <v>Security Equipment</v>
      </c>
      <c r="C138" s="185" t="str">
        <f>VLOOKUP(A138,Languages!$A$4:$I$273,3+$A$1)</f>
        <v>Sicherheitseinrichtungen</v>
      </c>
    </row>
    <row r="139" spans="1:3">
      <c r="A139" s="200">
        <v>136</v>
      </c>
      <c r="B139" s="185" t="str">
        <f>Languages!D139</f>
        <v>Item List</v>
      </c>
      <c r="C139" s="185" t="str">
        <f>VLOOKUP(A139,Languages!$A$4:$I$273,3+$A$1)</f>
        <v>Positionsliste</v>
      </c>
    </row>
    <row r="140" spans="1:3" ht="28.5">
      <c r="A140" s="200">
        <v>137</v>
      </c>
      <c r="B140" s="185" t="str">
        <f>Languages!D140</f>
        <v>CCTV with notice at entrance = 3, No CCTV =0</v>
      </c>
      <c r="C140" s="185" t="str">
        <f>VLOOKUP(A140,Languages!$A$4:$I$273,3+$A$1)</f>
        <v>Videoüberwachung mit Ankündigung am Eingang = 3, Keine Videoüberwachung = 0</v>
      </c>
    </row>
    <row r="141" spans="1:3" ht="28.5">
      <c r="A141" s="200">
        <v>138</v>
      </c>
      <c r="B141" s="185" t="str">
        <f>Languages!D141</f>
        <v>Staff surveillance (on-site or remote)
•  Yes = 5, No = 0</v>
      </c>
      <c r="C141" s="185" t="str">
        <f>VLOOKUP(A141,Languages!$A$4:$I$273,3+$A$1)</f>
        <v>Überwachung durch Personal (vor Ort oder durch Fernüberwachung)
•  ja = 5, nein = 0</v>
      </c>
    </row>
    <row r="142" spans="1:3">
      <c r="A142" s="200">
        <v>139</v>
      </c>
      <c r="B142" s="185" t="str">
        <f>Languages!D142</f>
        <v>CCTV at:</v>
      </c>
      <c r="C142" s="185" t="str">
        <f>VLOOKUP(A142,Languages!$A$4:$I$273,3+$A$1)</f>
        <v>Videoüberwachung an besonderen Stellen</v>
      </c>
    </row>
    <row r="143" spans="1:3">
      <c r="A143" s="200">
        <v>140</v>
      </c>
      <c r="B143" s="185" t="str">
        <f>Languages!D143</f>
        <v>Car Entry: Yes =1, No =0</v>
      </c>
      <c r="C143" s="185" t="str">
        <f>VLOOKUP(A143,Languages!$A$4:$I$273,3+$A$1)</f>
        <v>Einfahrt: ja = 1, nein = 0</v>
      </c>
    </row>
    <row r="144" spans="1:3">
      <c r="A144" s="200">
        <v>141</v>
      </c>
      <c r="B144" s="185" t="str">
        <f>Languages!D144</f>
        <v xml:space="preserve"> Car Exit: Yes =1, No =0</v>
      </c>
      <c r="C144" s="185" t="str">
        <f>VLOOKUP(A144,Languages!$A$4:$I$273,3+$A$1)</f>
        <v>Ausfahrt: ja = 1, nein = 0</v>
      </c>
    </row>
    <row r="145" spans="1:3">
      <c r="A145" s="200">
        <v>142</v>
      </c>
      <c r="B145" s="185" t="str">
        <f>Languages!D145</f>
        <v>Pay Machine: Yes =1, No =0</v>
      </c>
      <c r="C145" s="185" t="str">
        <f>VLOOKUP(A145,Languages!$A$4:$I$273,3+$A$1)</f>
        <v>Kassenautomat: ja = 1, nein = 0</v>
      </c>
    </row>
    <row r="146" spans="1:3">
      <c r="A146" s="200">
        <v>143</v>
      </c>
      <c r="B146" s="185" t="str">
        <f>Languages!D146</f>
        <v>Elevator Hall, every level: Yes =1, No =0</v>
      </c>
      <c r="C146" s="185" t="str">
        <f>VLOOKUP(A146,Languages!$A$4:$I$273,3+$A$1)</f>
        <v>Aufzugvorraum, in allen Geschossen: ja = 1, nein = 0</v>
      </c>
    </row>
    <row r="147" spans="1:3">
      <c r="A147" s="200">
        <v>144</v>
      </c>
      <c r="B147" s="185" t="str">
        <f>Languages!D147</f>
        <v>Stairwells, every level: Yes =1, No =0</v>
      </c>
      <c r="C147" s="185" t="str">
        <f>VLOOKUP(A147,Languages!$A$4:$I$273,3+$A$1)</f>
        <v>Treppenhäuser, in allen Geschossen: ja = 1, nein = 0</v>
      </c>
    </row>
    <row r="148" spans="1:3">
      <c r="A148" s="200">
        <v>145</v>
      </c>
      <c r="B148" s="185" t="str">
        <f>Languages!D148</f>
        <v>Pedestrian Entrances: Yes =1, No =0</v>
      </c>
      <c r="C148" s="185" t="str">
        <f>VLOOKUP(A148,Languages!$A$4:$I$273,3+$A$1)</f>
        <v>Fußgängereingang: ja = 1, nein = 0</v>
      </c>
    </row>
    <row r="149" spans="1:3">
      <c r="A149" s="200">
        <v>146</v>
      </c>
      <c r="B149" s="185" t="str">
        <f>Languages!D149</f>
        <v>Most of Parking Area (65%):Yes =3, No =0</v>
      </c>
      <c r="C149" s="185" t="str">
        <f>VLOOKUP(A149,Languages!$A$4:$I$273,3+$A$1)</f>
        <v>Überwiegender Teil der Parkebenen (65%): ja = 3, nein = 0</v>
      </c>
    </row>
    <row r="150" spans="1:3">
      <c r="A150" s="200">
        <v>147</v>
      </c>
      <c r="B150" s="185" t="str">
        <f>Languages!D150</f>
        <v xml:space="preserve"> Ramps: Yes = 1, No = 0</v>
      </c>
      <c r="C150" s="185" t="str">
        <f>VLOOKUP(A150,Languages!$A$4:$I$273,3+$A$1)</f>
        <v>Rampen: ja = 1, nein = 0</v>
      </c>
    </row>
    <row r="151" spans="1:3">
      <c r="A151" s="200">
        <v>148</v>
      </c>
      <c r="B151" s="185" t="str">
        <f>Languages!D151</f>
        <v>Staff contactable via:</v>
      </c>
      <c r="C151" s="185" t="str">
        <f>VLOOKUP(A151,Languages!$A$4:$I$273,3+$A$1)</f>
        <v>Personal kontaktierbar durch:</v>
      </c>
    </row>
    <row r="152" spans="1:3" ht="42.75">
      <c r="A152" s="200">
        <v>149</v>
      </c>
      <c r="B152" s="185" t="str">
        <f>Languages!D152</f>
        <v>Intercom at pay machine and/or controlled entries (24/7=3, All access hours if not 24/7= 2, Part time/not available = 0)</v>
      </c>
      <c r="C152" s="185" t="str">
        <f>VLOOKUP(A152,Languages!$A$4:$I$273,3+$A$1)</f>
        <v>Sprechstellen an den Kassenautomaten und/oder an den kontrollierten Zugängen (24h/7=3, während der Öffnungszeiten wenn nicht 24h/24 = 2, zeitweise oder gar nicht = 0)</v>
      </c>
    </row>
    <row r="153" spans="1:3" ht="28.5">
      <c r="A153" s="200">
        <v>150</v>
      </c>
      <c r="B153" s="185" t="str">
        <f>Languages!D153</f>
        <v>Emergency call system in parking area (24/7=3, All access hours if not 24/7= 2, Part time/not available = 0)</v>
      </c>
      <c r="C153" s="185" t="str">
        <f>VLOOKUP(A153,Languages!$A$4:$I$273,3+$A$1)</f>
        <v>Notrufmelder in den Parkebenen (24/7 = 3, während der Öffnungszeiten wenn nicht 24/7 = 2, zeitweise oder gar nicht = 0)</v>
      </c>
    </row>
    <row r="154" spans="1:3" ht="42.75">
      <c r="A154" s="200">
        <v>151</v>
      </c>
      <c r="B154" s="185" t="str">
        <f>Languages!D154</f>
        <v>Recognizable staff present and patrolling car park
(24/7 = 3, During access Hours = 2, Less than access Hours = 1, No = 0)</v>
      </c>
      <c r="C154" s="185" t="str">
        <f>VLOOKUP(A154,Languages!$A$4:$I$273,3+$A$1)</f>
        <v>Patroullierendes Parkhauspersonal anwesend
(24/7 = 3, während der Öffnungszeiten wenn nicht 24/7 = 1, gar nicht = 0)</v>
      </c>
    </row>
    <row r="155" spans="1:3" ht="71.25">
      <c r="A155" s="200">
        <v>152</v>
      </c>
      <c r="B155" s="185" t="str">
        <f>Languages!D155</f>
        <v>Lockable vehicle exit/entry: 
(Closed gate/rolling shutter  after access hours = 2, Secured: fast opening gate during day = 4, Secured: slow opening gate during day = 2, No provisions = 0)</v>
      </c>
      <c r="C155" s="185" t="str">
        <f>VLOOKUP(A155,Languages!$A$4:$I$273,3+$A$1)</f>
        <v xml:space="preserve">Verschließbare Ein-/Ausfahrten: 
(geschlossene Tore oder Rollgitter außerhalb der Öffnungszeiten = 2, Schnellauftore während der Öffnungszeiten = 4, langsam laufende Tore während der Öffnungszeiten = 2, keine Sicherung = 0)
</v>
      </c>
    </row>
    <row r="156" spans="1:3" ht="42.75">
      <c r="A156" s="200">
        <v>153</v>
      </c>
      <c r="B156" s="185" t="str">
        <f>Languages!D156</f>
        <v>Lockable pedestrian exit/entry (after opening hours).
(Door/gate/rolling shutter &lt;= 15cm maximum aperture = 2, over 15 cm = 0, no provisions = 0, Irrelevant (24 hours opening) = 2)</v>
      </c>
      <c r="C156" s="185" t="str">
        <f>VLOOKUP(A156,Languages!$A$4:$I$273,3+$A$1)</f>
        <v>Verschließbare Ein-/Ausgänge außerhalb der Öffnungszeiten: 
(Türen, Tore oder Rollgitter mit Öffnungen &lt;= 15 cm = 2, &gt; 15 cm = 0, keine Sicherung = 0, unzutreffend (24 Stunden Öffnungszeit) = 2)</v>
      </c>
    </row>
    <row r="157" spans="1:3" ht="42.75">
      <c r="A157" s="200">
        <v>154</v>
      </c>
      <c r="B157" s="185" t="str">
        <f>Languages!D157</f>
        <v>Grilles on external openings &amp; security grilles
(&lt;= 15 cm = 2, &gt; 15 cm or no protection= 0, Irrelevant (no external openings) = 2)</v>
      </c>
      <c r="C157" s="185" t="str">
        <f>VLOOKUP(A157,Languages!$A$4:$I$273,3+$A$1)</f>
        <v>Vergitterung von Öffnungen nach außen
(&lt;= 15 cm = 2, &gt; 15 cm oder kein Schutz= 0, unzutreffend (keine Öffnungen) = 2)</v>
      </c>
    </row>
    <row r="158" spans="1:3">
      <c r="A158" s="200">
        <v>155</v>
      </c>
      <c r="B158" s="185" t="str">
        <f>Languages!D158</f>
        <v>Wayfinding Inside and Outside</v>
      </c>
      <c r="C158" s="185" t="str">
        <f>VLOOKUP(A158,Languages!$A$4:$I$273,3+$A$1)</f>
        <v>Wegweisung innerhalb und außerhalb des Parkhauses</v>
      </c>
    </row>
    <row r="159" spans="1:3">
      <c r="A159" s="200">
        <v>156</v>
      </c>
      <c r="B159" s="185" t="str">
        <f>Languages!D159</f>
        <v>Item List</v>
      </c>
      <c r="C159" s="185" t="str">
        <f>VLOOKUP(A159,Languages!$A$4:$I$273,3+$A$1)</f>
        <v>Positionsliste</v>
      </c>
    </row>
    <row r="160" spans="1:3">
      <c r="A160" s="200">
        <v>157</v>
      </c>
      <c r="B160" s="187" t="str">
        <f>Languages!D160</f>
        <v>Identification of vacant parking spaces</v>
      </c>
      <c r="C160" s="187" t="str">
        <f>VLOOKUP(A160,Languages!$A$4:$I$273,3+$A$1)</f>
        <v>Anzeige von freien Stellplätzen</v>
      </c>
    </row>
    <row r="161" spans="1:3">
      <c r="A161" s="200">
        <v>158</v>
      </c>
      <c r="B161" s="190" t="str">
        <f>Languages!D161</f>
        <v>Parking floor level (yes/good = 2, no/bad = 0)</v>
      </c>
      <c r="C161" s="190" t="str">
        <f>VLOOKUP(A161,Languages!$A$4:$I$273,3+$A$1)</f>
        <v>Etagenweise (ja/gut = 2, nein/schlecht= 0)</v>
      </c>
    </row>
    <row r="162" spans="1:3">
      <c r="A162" s="200">
        <v>159</v>
      </c>
      <c r="B162" s="190" t="str">
        <f>Languages!D162</f>
        <v>Parking row (yes/good = 1, no/bad = 0)</v>
      </c>
      <c r="C162" s="190" t="str">
        <f>VLOOKUP(A162,Languages!$A$4:$I$273,3+$A$1)</f>
        <v>Gassenweise (ja/gut = 1, nein/schlecht= 0)</v>
      </c>
    </row>
    <row r="163" spans="1:3">
      <c r="A163" s="200">
        <v>160</v>
      </c>
      <c r="B163" s="190" t="str">
        <f>Languages!D163</f>
        <v>Individual stall indication (yes/good = 2, no/bad = 0)</v>
      </c>
      <c r="C163" s="190" t="str">
        <f>VLOOKUP(A163,Languages!$A$4:$I$273,3+$A$1)</f>
        <v>Platzweise (ja/gut = 2, nein/schlecht= 0)</v>
      </c>
    </row>
    <row r="164" spans="1:3">
      <c r="A164" s="200">
        <v>161</v>
      </c>
      <c r="B164" s="187" t="str">
        <f>Languages!D164</f>
        <v>Way finding (vehicles)</v>
      </c>
      <c r="C164" s="187" t="str">
        <f>VLOOKUP(A164,Languages!$A$4:$I$273,3+$A$1)</f>
        <v>Wegweisung für den fahrenden Verkehr</v>
      </c>
    </row>
    <row r="165" spans="1:3" ht="25.5">
      <c r="A165" s="200">
        <v>162</v>
      </c>
      <c r="B165" s="188" t="str">
        <f>Languages!D165</f>
        <v>Are floors clearly and separately identified for drivers? (Good =3, Adequate =2, Poor =1, No =0)</v>
      </c>
      <c r="C165" s="188" t="str">
        <f>VLOOKUP(A165,Languages!$A$4:$I$273,3+$A$1)</f>
        <v>Sind die Etagen für den Fahrer klar und deutlich gekennzeichnet? (gut =3, befriedigend =2, schlecht =1, gar nicht =0)</v>
      </c>
    </row>
    <row r="166" spans="1:3" ht="25.5">
      <c r="A166" s="200">
        <v>163</v>
      </c>
      <c r="B166" s="188" t="str">
        <f>Languages!D166</f>
        <v>Are sub-areas of floors clearly identified for drivers? (Good =3, Adequate =2, Poor =1, No =0)</v>
      </c>
      <c r="C166" s="188" t="str">
        <f>VLOOKUP(A166,Languages!$A$4:$I$273,3+$A$1)</f>
        <v>Sind einzelne Bereiche für den Fahrer klar und deutlich gekennzeichnet? (gut =3, befriedigend =2, schlecht =1, gar nicht =0)</v>
      </c>
    </row>
    <row r="167" spans="1:3" ht="63.75">
      <c r="A167" s="200">
        <v>164</v>
      </c>
      <c r="B167" s="187" t="str">
        <f>Languages!D167</f>
        <v>Are fire escapes and escape routes clearly marked
• Clear from all locations = 3
• most locations= 2
• some locations=1
• No marking of escape routes=0)</v>
      </c>
      <c r="C167" s="187" t="str">
        <f>VLOOKUP(A167,Languages!$A$4:$I$273,3+$A$1)</f>
        <v>Sind die Notausgänge und Rettungswege klar und deutlich gekennzeichnet?
(an allen Standorten = 3, an den meisten Standorten = 2, nur an einigen Standorten = 1, keine Kennzeichnung der Rettungswege = 0)</v>
      </c>
    </row>
    <row r="168" spans="1:3" ht="38.25">
      <c r="A168" s="200">
        <v>165</v>
      </c>
      <c r="B168" s="187" t="str">
        <f>Languages!D168</f>
        <v>Are floor levels clearly marked?
(good =3, adequate=2, poor=1, none =0. Single level car parks = 3)</v>
      </c>
      <c r="C168" s="187" t="str">
        <f>VLOOKUP(A168,Languages!$A$4:$I$273,3+$A$1)</f>
        <v>Sind die einzelnen Parkebenen klar und deutlich gekennzeichnet?
(gut = 3, befriedigend = 2, schlecht = 1, gar nicht = 0., unzutreffend, da nur 1 Geschoss = 3)</v>
      </c>
    </row>
    <row r="169" spans="1:3" ht="38.25">
      <c r="A169" s="200">
        <v>166</v>
      </c>
      <c r="B169" s="187" t="str">
        <f>Languages!D169</f>
        <v>Is there additional signing or prompts to orient the pedestrian on the parking deck
(good =2, some =1, none = 0)</v>
      </c>
      <c r="C169" s="187" t="str">
        <f>VLOOKUP(A169,Languages!$A$4:$I$273,3+$A$1)</f>
        <v>Gibt es zusätzliche Schilder oder Anzeigen zur Verbesserung der Orientierung der Fußgänger?
(gut = 2, einige = 1, keine = 0)</v>
      </c>
    </row>
    <row r="170" spans="1:3" ht="38.25">
      <c r="A170" s="200">
        <v>167</v>
      </c>
      <c r="B170" s="187" t="str">
        <f>Languages!D170</f>
        <v>Are parking spaces individually numbered
(Numbered including floor identification =2, Just numbers =1, none =0)</v>
      </c>
      <c r="C170" s="187" t="str">
        <f>VLOOKUP(A170,Languages!$A$4:$I$273,3+$A$1)</f>
        <v>Sind die Stellplätze einzeln nummeriert?
(nummeriert mit Geschoßbezeichnung = 2, nur nummeriert = 1, nicht = 0)</v>
      </c>
    </row>
    <row r="171" spans="1:3" ht="25.5">
      <c r="A171" s="200">
        <v>168</v>
      </c>
      <c r="B171" s="187" t="str">
        <f>Languages!D171</f>
        <v>Use of colours for  way finding
(Yes= 1, No= 0)</v>
      </c>
      <c r="C171" s="187" t="str">
        <f>VLOOKUP(A171,Languages!$A$4:$I$273,3+$A$1)</f>
        <v>Verwendung von Farben zur Orientierung
(ja = 1, nein = 0)</v>
      </c>
    </row>
    <row r="172" spans="1:3">
      <c r="A172" s="200">
        <v>169</v>
      </c>
      <c r="B172" s="187" t="str">
        <f>Languages!D172</f>
        <v>Guidance sign posting for cars on roads to car park</v>
      </c>
      <c r="C172" s="187" t="str">
        <f>VLOOKUP(A172,Languages!$A$4:$I$273,3+$A$1)</f>
        <v>Parkleitsystem</v>
      </c>
    </row>
    <row r="173" spans="1:3">
      <c r="A173" s="200">
        <v>170</v>
      </c>
      <c r="B173" s="188" t="str">
        <f>Languages!D173</f>
        <v>Static sign system only (Yes = 1, No = 0)</v>
      </c>
      <c r="C173" s="188" t="str">
        <f>VLOOKUP(A173,Languages!$A$4:$I$273,3+$A$1)</f>
        <v>Statisch (ja = 1, nein = 0)</v>
      </c>
    </row>
    <row r="174" spans="1:3">
      <c r="A174" s="200">
        <v>171</v>
      </c>
      <c r="B174" s="188" t="str">
        <f>Languages!D174</f>
        <v>Dynamic sign system additionally (Yes = 1, No = 0)</v>
      </c>
      <c r="C174" s="188" t="str">
        <f>VLOOKUP(A174,Languages!$A$4:$I$273,3+$A$1)</f>
        <v>Dynamisch (ja = 1, nein = 0)</v>
      </c>
    </row>
    <row r="175" spans="1:3">
      <c r="A175" s="200">
        <v>172</v>
      </c>
      <c r="B175" s="187" t="str">
        <f>Languages!D175</f>
        <v>Illuminated signage at car park entrance</v>
      </c>
      <c r="C175" s="187" t="str">
        <f>VLOOKUP(A175,Languages!$A$4:$I$273,3+$A$1)</f>
        <v>Beleuchtete Anzeige an der Einfahrt</v>
      </c>
    </row>
    <row r="176" spans="1:3">
      <c r="A176" s="200">
        <v>173</v>
      </c>
      <c r="B176" s="190" t="str">
        <f>Languages!D176</f>
        <v>Signal green arrow, red cross for direction (Yes = 1, No = 0)</v>
      </c>
      <c r="C176" s="190" t="str">
        <f>VLOOKUP(A176,Languages!$A$4:$I$273,3+$A$1)</f>
        <v>Grüner Pfeil/rotes Kreuz-Anzeige (ja = 1, nein = 0)</v>
      </c>
    </row>
    <row r="177" spans="1:3">
      <c r="A177" s="200">
        <v>174</v>
      </c>
      <c r="B177" s="190" t="str">
        <f>Languages!D177</f>
        <v>Signal full/free (Yes = 1, No = 0)</v>
      </c>
      <c r="C177" s="190" t="str">
        <f>VLOOKUP(A177,Languages!$A$4:$I$273,3+$A$1)</f>
        <v>Frei/Besetzt-Anzeige (ja = 1, nein = 0)</v>
      </c>
    </row>
    <row r="178" spans="1:3">
      <c r="A178" s="200">
        <v>175</v>
      </c>
      <c r="B178" s="190" t="str">
        <f>Languages!D178</f>
        <v>Signage at pedestrian entrance (Yes = 1, No = 0)</v>
      </c>
      <c r="C178" s="190" t="str">
        <f>VLOOKUP(A178,Languages!$A$4:$I$273,3+$A$1)</f>
        <v>Anzeige an den Fußgängerzugängen (ja = 1, nein = 0)</v>
      </c>
    </row>
    <row r="179" spans="1:3">
      <c r="A179" s="200">
        <v>176</v>
      </c>
      <c r="B179" s="191" t="str">
        <f>Languages!D179</f>
        <v>Comfort and Miscellaneous</v>
      </c>
      <c r="C179" s="191" t="str">
        <f>VLOOKUP(A179,Languages!$A$4:$I$273,3+$A$1)</f>
        <v>Komfort und verschiedenes</v>
      </c>
    </row>
    <row r="180" spans="1:3">
      <c r="A180" s="200">
        <v>177</v>
      </c>
      <c r="B180" s="187" t="str">
        <f>Languages!D180</f>
        <v>Notice-board at pedestrian entrance/exit showing:</v>
      </c>
      <c r="C180" s="187" t="str">
        <f>VLOOKUP(A180,Languages!$A$4:$I$273,3+$A$1)</f>
        <v>Hinweisschild an den Fußgängerzugängen bezüglich :</v>
      </c>
    </row>
    <row r="181" spans="1:3">
      <c r="A181" s="200">
        <v>178</v>
      </c>
      <c r="B181" s="190" t="str">
        <f>Languages!D181</f>
        <v>Access hours normal/special (yes = 1, no = 0)</v>
      </c>
      <c r="C181" s="190" t="str">
        <f>VLOOKUP(A181,Languages!$A$4:$I$273,3+$A$1)</f>
        <v>Öffnungszeiten übliche/besondere (ja = 1, nein = 0)</v>
      </c>
    </row>
    <row r="182" spans="1:3">
      <c r="A182" s="200">
        <v>179</v>
      </c>
      <c r="B182" s="190" t="str">
        <f>Languages!D182</f>
        <v>Readable &amp; understandable tariff board (yes = 1, no = 0)</v>
      </c>
      <c r="C182" s="190" t="str">
        <f>VLOOKUP(A182,Languages!$A$4:$I$273,3+$A$1)</f>
        <v>Lesbare und verständliche Anzeige der Parktarife (ja = 1, nein = 0)</v>
      </c>
    </row>
    <row r="183" spans="1:3">
      <c r="A183" s="200">
        <v>180</v>
      </c>
      <c r="B183" s="190" t="str">
        <f>Languages!D183</f>
        <v>Operators terms and conditions (yes = 1, no = 0)</v>
      </c>
      <c r="C183" s="190" t="str">
        <f>VLOOKUP(A183,Languages!$A$4:$I$273,3+$A$1)</f>
        <v>Einstellbedingungen (ja = 1, nein = 0)</v>
      </c>
    </row>
    <row r="184" spans="1:3">
      <c r="A184" s="200">
        <v>181</v>
      </c>
      <c r="B184" s="187" t="str">
        <f>Languages!D184</f>
        <v>Payment options (pay at exit/pay at pay station):</v>
      </c>
      <c r="C184" s="187" t="str">
        <f>VLOOKUP(A184,Languages!$A$4:$I$273,3+$A$1)</f>
        <v>Bezahlmöglichkeiten (Zahlung am Ein-/Ausgang/am Kassenautomat):</v>
      </c>
    </row>
    <row r="185" spans="1:3">
      <c r="A185" s="200">
        <v>182</v>
      </c>
      <c r="B185" s="190" t="str">
        <f>Languages!D185</f>
        <v>Accepts coins? (yes =1, no =0)</v>
      </c>
      <c r="C185" s="190" t="str">
        <f>VLOOKUP(A185,Languages!$A$4:$I$273,3+$A$1)</f>
        <v>Münzzahlung? (ja = 1, nein = 0)</v>
      </c>
    </row>
    <row r="186" spans="1:3">
      <c r="A186" s="200">
        <v>183</v>
      </c>
      <c r="B186" s="190" t="str">
        <f>Languages!D186</f>
        <v>Change given? (yes =1, no =0)</v>
      </c>
      <c r="C186" s="190" t="str">
        <f>VLOOKUP(A186,Languages!$A$4:$I$273,3+$A$1)</f>
        <v>Wechselgeld? (ja = 1, nein = 0)</v>
      </c>
    </row>
    <row r="187" spans="1:3">
      <c r="A187" s="200">
        <v>184</v>
      </c>
      <c r="B187" s="190" t="str">
        <f>Languages!D187</f>
        <v>Accepts banknotes?  (yes =1, no =0)</v>
      </c>
      <c r="C187" s="190" t="str">
        <f>VLOOKUP(A187,Languages!$A$4:$I$273,3+$A$1)</f>
        <v>Banknoten?  (ja = 1, nein = 0)</v>
      </c>
    </row>
    <row r="188" spans="1:3">
      <c r="A188" s="200">
        <v>185</v>
      </c>
      <c r="B188" s="190" t="str">
        <f>Languages!D188</f>
        <v>Accepts bank cards?  (yes =1, no =0)</v>
      </c>
      <c r="C188" s="190" t="str">
        <f>VLOOKUP(A188,Languages!$A$4:$I$273,3+$A$1)</f>
        <v>Kreditkarten?  (ja = 1, nein = 0)</v>
      </c>
    </row>
    <row r="189" spans="1:3">
      <c r="A189" s="200">
        <v>186</v>
      </c>
      <c r="B189" s="190" t="str">
        <f>Languages!D189</f>
        <v>Payment by smart phone? (yes =1, no =0)</v>
      </c>
      <c r="C189" s="190" t="str">
        <f>VLOOKUP(A189,Languages!$A$4:$I$273,3+$A$1)</f>
        <v>Zahlung per Mobiltelefon? (ja = 1, nein = 0)</v>
      </c>
    </row>
    <row r="190" spans="1:3">
      <c r="A190" s="200">
        <v>187</v>
      </c>
      <c r="B190" s="190" t="str">
        <f>Languages!D190</f>
        <v>Payment by card/phone at exit? (yes =1, no =0)</v>
      </c>
      <c r="C190" s="190" t="str">
        <f>VLOOKUP(A190,Languages!$A$4:$I$273,3+$A$1)</f>
        <v>Karten-/Handyzahlung am Ausgang? (ja = 1, nein = 0)</v>
      </c>
    </row>
    <row r="191" spans="1:3">
      <c r="A191" s="200">
        <v>188</v>
      </c>
      <c r="B191" s="190" t="str">
        <f>Languages!D191</f>
        <v>ID &amp; payment by LPR? (yes =1, no =0)</v>
      </c>
      <c r="C191" s="190" t="str">
        <f>VLOOKUP(A191,Languages!$A$4:$I$273,3+$A$1)</f>
        <v>Identifikation und Zahlung per Kennzeichenerkennung? (ja = 1, nein = 0)</v>
      </c>
    </row>
    <row r="192" spans="1:3" ht="25.5">
      <c r="A192" s="200">
        <v>189</v>
      </c>
      <c r="B192" s="190" t="str">
        <f>Languages!D192</f>
        <v>Accepts other cards: How many? (1 point per additional option up to 3)</v>
      </c>
      <c r="C192" s="190" t="str">
        <f>VLOOKUP(A192,Languages!$A$4:$I$273,3+$A$1)</f>
        <v>Akzeptanz anderer Karten: Wie viele? (1 Punkt je zusätzlicher Option bis 3 Punkte)</v>
      </c>
    </row>
    <row r="193" spans="1:3">
      <c r="A193" s="200">
        <v>190</v>
      </c>
      <c r="B193" s="187" t="str">
        <f>Languages!D193</f>
        <v>Payment at staffed desk: (yes = 1, no = 0)</v>
      </c>
      <c r="C193" s="187" t="str">
        <f>VLOOKUP(A193,Languages!$A$4:$I$273,3+$A$1)</f>
        <v>Zahlung an besetzter Kasse: (ja = 1, nein = 0)</v>
      </c>
    </row>
    <row r="194" spans="1:3" ht="25.5">
      <c r="A194" s="200">
        <v>191</v>
      </c>
      <c r="B194" s="187" t="str">
        <f>Languages!D194</f>
        <v>Is this a Pay and Display Car Park?</v>
      </c>
      <c r="C194" s="187" t="str">
        <f>VLOOKUP(A194,Languages!$A$4:$I$273,3+$A$1)</f>
        <v>Handelt es sich um ein Parkhaus ohne Schranken? (mit Parkscheinautomaten)?</v>
      </c>
    </row>
    <row r="195" spans="1:3" ht="51">
      <c r="A195" s="200">
        <v>192</v>
      </c>
      <c r="B195" s="188" t="str">
        <f>Languages!D195</f>
        <v>Number of Pay points for Barrier controlled car parks:
(One pay station = 0,  More than one =1, One at each pedestrian entrance, excluding fire escapes =2, More than one at each pedestrian entrance =3)</v>
      </c>
      <c r="C195" s="188" t="str">
        <f>VLOOKUP(A195,Languages!$A$4:$I$273,3+$A$1)</f>
        <v>Anzahl der Bezahlstationen für beschrankte Parkhäuser:
(eine = 0, mehr als eine = 1, eine an jedem Fußgängerzugang (außer Notausgänge) = 2, eine an jedem Fußgängerzugang = 3)</v>
      </c>
    </row>
    <row r="196" spans="1:3" ht="38.25">
      <c r="A196" s="200">
        <v>193</v>
      </c>
      <c r="B196" s="188" t="str">
        <f>Languages!D196</f>
        <v>Number of Pay points for Pay and Display Car Parks
(One =0, &lt; 1 for every 50 spaces =2, &gt;1 for every 50 spaces =3)</v>
      </c>
      <c r="C196" s="188" t="str">
        <f>VLOOKUP(A196,Languages!$A$4:$I$273,3+$A$1)</f>
        <v>Anzahl der Parkscheinautomaten für unbeschrankte Parkhäuser:
(einer = 0, weniger als einer pro 50 Stellplätze = 1, mehr als einer pro 50 Stellplätze = 3)</v>
      </c>
    </row>
    <row r="197" spans="1:3">
      <c r="A197" s="200">
        <v>194</v>
      </c>
      <c r="B197" s="187" t="str">
        <f>Languages!D197</f>
        <v>Customer toilets:</v>
      </c>
      <c r="C197" s="187" t="str">
        <f>VLOOKUP(A197,Languages!$A$4:$I$273,3+$A$1)</f>
        <v>Öffentliche Toiletten:</v>
      </c>
    </row>
    <row r="198" spans="1:3">
      <c r="A198" s="200">
        <v>195</v>
      </c>
      <c r="B198" s="190" t="str">
        <f>Languages!D198</f>
        <v>Exist? (yes= 2, no= 0)</v>
      </c>
      <c r="C198" s="190" t="str">
        <f>VLOOKUP(A198,Languages!$A$4:$I$273,3+$A$1)</f>
        <v>Vorhanden? (ja = 2, nein = 0)</v>
      </c>
    </row>
    <row r="199" spans="1:3">
      <c r="A199" s="200">
        <v>196</v>
      </c>
      <c r="B199" s="190" t="str">
        <f>Languages!D199</f>
        <v>Disabled toilet? (yes=1, no= 0)</v>
      </c>
      <c r="C199" s="190" t="str">
        <f>VLOOKUP(A199,Languages!$A$4:$I$273,3+$A$1)</f>
        <v>Behindertentoilette? (ja = 1, nein = 0)</v>
      </c>
    </row>
    <row r="200" spans="1:3">
      <c r="A200" s="200">
        <v>197</v>
      </c>
      <c r="B200" s="190" t="str">
        <f>Languages!D200</f>
        <v>unisex = 0, male/female separated = 1</v>
      </c>
      <c r="C200" s="190" t="str">
        <f>VLOOKUP(A200,Languages!$A$4:$I$273,3+$A$1)</f>
        <v>Toiletten unisex= 0, Frauen/Männer getrennt = 1</v>
      </c>
    </row>
    <row r="201" spans="1:3">
      <c r="A201" s="200">
        <v>198</v>
      </c>
      <c r="B201" s="190" t="str">
        <f>Languages!D201</f>
        <v>attendant: yes=1, no= 0</v>
      </c>
      <c r="C201" s="190" t="str">
        <f>VLOOKUP(A201,Languages!$A$4:$I$273,3+$A$1)</f>
        <v>Toilettenaufseher(-in): ja = 1, nein = 0</v>
      </c>
    </row>
    <row r="202" spans="1:3">
      <c r="A202" s="200">
        <v>199</v>
      </c>
      <c r="B202" s="187" t="str">
        <f>Languages!D202</f>
        <v>Use of colours/ embellishing works</v>
      </c>
      <c r="C202" s="187" t="str">
        <f>VLOOKUP(A202,Languages!$A$4:$I$273,3+$A$1)</f>
        <v>Verwendung von Farben / Verschönerungen</v>
      </c>
    </row>
    <row r="203" spans="1:3">
      <c r="A203" s="200">
        <v>200</v>
      </c>
      <c r="B203" s="188" t="str">
        <f>Languages!D203</f>
        <v>Coloured pillars =1, no/concrete grey = 0</v>
      </c>
      <c r="C203" s="188" t="str">
        <f>VLOOKUP(A203,Languages!$A$4:$I$273,3+$A$1)</f>
        <v>Farbige Stützen = 1, nein, betongrau = 0</v>
      </c>
    </row>
    <row r="204" spans="1:3">
      <c r="A204" s="200">
        <v>201</v>
      </c>
      <c r="B204" s="188" t="str">
        <f>Languages!D204</f>
        <v>Coloured walls =1, no/concrete grey = 0</v>
      </c>
      <c r="C204" s="188" t="str">
        <f>VLOOKUP(A204,Languages!$A$4:$I$273,3+$A$1)</f>
        <v>Farbige Wände = 1, nein, betongrau = 0</v>
      </c>
    </row>
    <row r="205" spans="1:3">
      <c r="A205" s="200">
        <v>202</v>
      </c>
      <c r="B205" s="187" t="str">
        <f>Languages!D205</f>
        <v>Extra embellishment</v>
      </c>
      <c r="C205" s="187" t="str">
        <f>VLOOKUP(A205,Languages!$A$4:$I$273,3+$A$1)</f>
        <v>Besondere verschönernde Elemente:</v>
      </c>
    </row>
    <row r="206" spans="1:3">
      <c r="A206" s="200">
        <v>203</v>
      </c>
      <c r="B206" s="190" t="str">
        <f>Languages!D206</f>
        <v xml:space="preserve"> Artwork: (Yes = 2, No = 0)</v>
      </c>
      <c r="C206" s="190" t="str">
        <f>VLOOKUP(A206,Languages!$A$4:$I$273,3+$A$1)</f>
        <v>Kunstwerke: (ja = 2, nein = 0)</v>
      </c>
    </row>
    <row r="207" spans="1:3">
      <c r="A207" s="200">
        <v>204</v>
      </c>
      <c r="B207" s="190" t="str">
        <f>Languages!D207</f>
        <v>Planters: (Yes = 1, No = 0)</v>
      </c>
      <c r="C207" s="190" t="str">
        <f>VLOOKUP(A207,Languages!$A$4:$I$273,3+$A$1)</f>
        <v>Pflanzen: (ja = 1, nein = 0)</v>
      </c>
    </row>
    <row r="208" spans="1:3">
      <c r="A208" s="200">
        <v>205</v>
      </c>
      <c r="B208" s="190" t="str">
        <f>Languages!D208</f>
        <v>Other: (Yes = 1, No = 0)</v>
      </c>
      <c r="C208" s="190" t="str">
        <f>VLOOKUP(A208,Languages!$A$4:$I$273,3+$A$1)</f>
        <v>Sonstiges: (ja = 1, nein = 0)</v>
      </c>
    </row>
    <row r="209" spans="1:3">
      <c r="A209" s="200">
        <v>206</v>
      </c>
      <c r="B209" s="187" t="str">
        <f>Languages!D209</f>
        <v>Mobile phone coverage (Yes = 2, No = 0)</v>
      </c>
      <c r="C209" s="187" t="str">
        <f>VLOOKUP(A209,Languages!$A$4:$I$273,3+$A$1)</f>
        <v>Handyempfang (ja = 2, nein = 0)</v>
      </c>
    </row>
    <row r="210" spans="1:3">
      <c r="A210" s="200">
        <v>207</v>
      </c>
      <c r="B210" s="187" t="str">
        <f>Languages!D210</f>
        <v>Continuity of radio signals (Yes = 1, No = 0)</v>
      </c>
      <c r="C210" s="187" t="str">
        <f>VLOOKUP(A210,Languages!$A$4:$I$273,3+$A$1)</f>
        <v>Radioemfang (ja = 1, nein = 0)</v>
      </c>
    </row>
    <row r="211" spans="1:3">
      <c r="A211" s="200">
        <v>208</v>
      </c>
      <c r="B211" s="187" t="str">
        <f>Languages!D211</f>
        <v>Music</v>
      </c>
      <c r="C211" s="187" t="str">
        <f>VLOOKUP(A211,Languages!$A$4:$I$273,3+$A$1)</f>
        <v>Musik</v>
      </c>
    </row>
    <row r="212" spans="1:3">
      <c r="A212" s="200">
        <v>209</v>
      </c>
      <c r="B212" s="188" t="str">
        <f>Languages!D212</f>
        <v>Background music: yes = 2, No = 0</v>
      </c>
      <c r="C212" s="188" t="str">
        <f>VLOOKUP(A212,Languages!$A$4:$I$273,3+$A$1)</f>
        <v>Hintergrundmusik:  ja = 2, nein = 0</v>
      </c>
    </row>
    <row r="213" spans="1:3" ht="25.5">
      <c r="A213" s="200">
        <v>210</v>
      </c>
      <c r="B213" s="188" t="str">
        <f>Languages!D213</f>
        <v>Differentiation for way finding :  yes =1, No = 0</v>
      </c>
      <c r="C213" s="188" t="str">
        <f>VLOOKUP(A213,Languages!$A$4:$I$273,3+$A$1)</f>
        <v>Maßnahmen zur Erleichterung der Orientierung im Parkhaus:  ja = 1, nein = 0</v>
      </c>
    </row>
    <row r="214" spans="1:3">
      <c r="A214" s="200">
        <v>211</v>
      </c>
      <c r="B214" s="185" t="str">
        <f>Languages!D214</f>
        <v>Energy and Environment</v>
      </c>
      <c r="C214" s="185" t="str">
        <f>VLOOKUP(A214,Languages!$A$4:$I$273,3+$A$1)</f>
        <v>Energie und Umwelt</v>
      </c>
    </row>
    <row r="215" spans="1:3">
      <c r="A215" s="200">
        <v>212</v>
      </c>
      <c r="B215" s="185" t="str">
        <f>Languages!D215</f>
        <v>Energy Saving Lighting Systems</v>
      </c>
      <c r="C215" s="185" t="str">
        <f>VLOOKUP(A215,Languages!$A$4:$I$273,3+$A$1)</f>
        <v>Energiesparende Beleuchtung</v>
      </c>
    </row>
    <row r="216" spans="1:3">
      <c r="A216" s="200">
        <v>213</v>
      </c>
      <c r="B216" s="185" t="str">
        <f>Languages!D216</f>
        <v>Power Factor Compensation (Yes=1, No=0)</v>
      </c>
      <c r="C216" s="185" t="str">
        <f>VLOOKUP(A216,Languages!$A$4:$I$273,3+$A$1)</f>
        <v>Elektronische Vorschaltgeräte (EVG) (ja = 1, nein = 0)</v>
      </c>
    </row>
    <row r="217" spans="1:3">
      <c r="A217" s="200">
        <v>214</v>
      </c>
      <c r="B217" s="185" t="str">
        <f>Languages!D217</f>
        <v>Other Systems (Yes=1, No=0)</v>
      </c>
      <c r="C217" s="185" t="str">
        <f>VLOOKUP(A217,Languages!$A$4:$I$273,3+$A$1)</f>
        <v>Andere Systeme (ja = 1, nein = 0)</v>
      </c>
    </row>
    <row r="218" spans="1:3" ht="28.5">
      <c r="A218" s="200">
        <v>215</v>
      </c>
      <c r="B218" s="185" t="str">
        <f>Languages!D218</f>
        <v>Movement detection variable lights, remaining quality (yes= 2, no= 0)</v>
      </c>
      <c r="C218" s="185" t="str">
        <f>VLOOKUP(A218,Languages!$A$4:$I$273,3+$A$1)</f>
        <v>Bewegungsgesteuerte Beleuchtung (ja = 2, nein = 0)</v>
      </c>
    </row>
    <row r="219" spans="1:3" ht="28.5">
      <c r="A219" s="200">
        <v>216</v>
      </c>
      <c r="B219" s="185" t="str">
        <f>Languages!D219</f>
        <v>Adaptable lighting for daylight compensation at entrance area 
(yes= 2, no= 0)</v>
      </c>
      <c r="C219" s="185" t="str">
        <f>VLOOKUP(A219,Languages!$A$4:$I$273,3+$A$1)</f>
        <v>Adaptionsstrecke an der Einfahrt.
(ja = 2, nein = 0)</v>
      </c>
    </row>
    <row r="220" spans="1:3" ht="42.75">
      <c r="A220" s="200">
        <v>217</v>
      </c>
      <c r="B220" s="185" t="str">
        <f>Languages!D220</f>
        <v>Adaptable lighting for ambient light conditions at parking floor from daylight
(yes= 2, no= 0, Irrelevant (below ground) =2)</v>
      </c>
      <c r="C220" s="185" t="str">
        <f>VLOOKUP(A220,Languages!$A$4:$I$273,3+$A$1)</f>
        <v>An das Tageslicht anpassbare Beleuchtung der Parkebenen (z.B. Dämmerungsschalter)
(ja = 2, nein = 0, unzutreffend (Tiefgarage) = 2)</v>
      </c>
    </row>
    <row r="221" spans="1:3" ht="28.5">
      <c r="A221" s="200">
        <v>218</v>
      </c>
      <c r="B221" s="185" t="str">
        <f>Languages!D221</f>
        <v>Solar panels on the roof or other green energy initiatives (yes= 2, no= 0)</v>
      </c>
      <c r="C221" s="185" t="str">
        <f>VLOOKUP(A221,Languages!$A$4:$I$273,3+$A$1)</f>
        <v>Photovoltaik oder andere umweltfreundliche energetische Initiativen (ja = 2, nein = 0)</v>
      </c>
    </row>
    <row r="222" spans="1:3" ht="28.5">
      <c r="A222" s="200">
        <v>219</v>
      </c>
      <c r="B222" s="185" t="str">
        <f>Languages!D222</f>
        <v>Special treatment of cleaning water:
•  yes= 2, no= 0</v>
      </c>
      <c r="C222" s="185" t="str">
        <f>VLOOKUP(A222,Languages!$A$4:$I$273,3+$A$1)</f>
        <v>Spezielle Behandlung von Schmutzwasser:
•  ja = 2, nein = 0</v>
      </c>
    </row>
    <row r="223" spans="1:3" ht="42.75">
      <c r="A223" s="200">
        <v>220</v>
      </c>
      <c r="B223" s="185" t="str">
        <f>Languages!D223</f>
        <v xml:space="preserve">Grey water or re-use of rain water
•  yes= 2, no= 0
</v>
      </c>
      <c r="C223" s="185" t="str">
        <f>VLOOKUP(A223,Languages!$A$4:$I$273,3+$A$1)</f>
        <v>Verwendung von Regenwasser als Brauchwasser (z.B. zur Reinigung oder Toilettenspülung)
•  ja = 2, nein = 0</v>
      </c>
    </row>
    <row r="224" spans="1:3" ht="28.5">
      <c r="A224" s="200">
        <v>221</v>
      </c>
      <c r="B224" s="185" t="str">
        <f>Languages!D224</f>
        <v>Electric Vehicles recharging points: (Yes, more than one= 2, One recharging point=1, None=0)</v>
      </c>
      <c r="C224" s="185" t="str">
        <f>VLOOKUP(A224,Languages!$A$4:$I$273,3+$A$1)</f>
        <v>Ladestationen für Elektrofahrzeuge: (ja, mehrere = 2, eine = 1, keine = 0)</v>
      </c>
    </row>
    <row r="225" spans="1:3" ht="28.5">
      <c r="A225" s="200">
        <v>222</v>
      </c>
      <c r="B225" s="185" t="str">
        <f>Languages!D225</f>
        <v>Car sharing and similar initiatives
•  yes= 2, no= 0</v>
      </c>
      <c r="C225" s="185" t="str">
        <f>VLOOKUP(A225,Languages!$A$4:$I$273,3+$A$1)</f>
        <v>Car Sharing oder ähnliche Angebote
•  ja = 2, nein = 0</v>
      </c>
    </row>
    <row r="226" spans="1:3" ht="28.5">
      <c r="A226" s="200">
        <v>223</v>
      </c>
      <c r="B226" s="185" t="str">
        <f>Languages!D226</f>
        <v>Other environmental or zero emission  initiatives
•  yes= 2, no= 0</v>
      </c>
      <c r="C226" s="185" t="str">
        <f>VLOOKUP(A226,Languages!$A$4:$I$273,3+$A$1)</f>
        <v>Andere umweltfreundliche Initiativen, z.B. zur CO²-Reduzierung
•  ja = 2, nein = 0</v>
      </c>
    </row>
    <row r="227" spans="1:3">
      <c r="A227" s="200">
        <v>224</v>
      </c>
      <c r="B227" s="185" t="str">
        <f>Languages!D227</f>
        <v>Minus Points</v>
      </c>
      <c r="C227" s="185" t="str">
        <f>VLOOKUP(A227,Languages!$A$4:$I$273,3+$A$1)</f>
        <v>Minuspunkte</v>
      </c>
    </row>
    <row r="228" spans="1:3">
      <c r="A228" s="200">
        <v>225</v>
      </c>
      <c r="B228" s="185" t="str">
        <f>Languages!D228</f>
        <v>Presence of Graffiti</v>
      </c>
      <c r="C228" s="185" t="str">
        <f>VLOOKUP(A228,Languages!$A$4:$I$273,3+$A$1)</f>
        <v>Vorhandensein von Graffiti in den:</v>
      </c>
    </row>
    <row r="229" spans="1:3">
      <c r="A229" s="200">
        <v>226</v>
      </c>
      <c r="B229" s="185" t="str">
        <f>Languages!D229</f>
        <v>Stairwells (Yes= -2, No= 0)</v>
      </c>
      <c r="C229" s="185" t="str">
        <f>VLOOKUP(A229,Languages!$A$4:$I$273,3+$A$1)</f>
        <v>Treppenhäusern (ja = -2, nein = 0)</v>
      </c>
    </row>
    <row r="230" spans="1:3">
      <c r="A230" s="200">
        <v>227</v>
      </c>
      <c r="B230" s="185" t="str">
        <f>Languages!D230</f>
        <v>Elevator (Yes= -2, No= 0)</v>
      </c>
      <c r="C230" s="185" t="str">
        <f>VLOOKUP(A230,Languages!$A$4:$I$273,3+$A$1)</f>
        <v>Aufzügen (ja = -2, nein = 0)</v>
      </c>
    </row>
    <row r="231" spans="1:3">
      <c r="A231" s="200">
        <v>228</v>
      </c>
      <c r="B231" s="185" t="str">
        <f>Languages!D231</f>
        <v>Toilets (Yes= -2, No= 0)</v>
      </c>
      <c r="C231" s="185" t="str">
        <f>VLOOKUP(A231,Languages!$A$4:$I$273,3+$A$1)</f>
        <v>Toiletten (ja = -2, nein = 0)</v>
      </c>
    </row>
    <row r="232" spans="1:3">
      <c r="A232" s="200">
        <v>229</v>
      </c>
      <c r="B232" s="185" t="str">
        <f>Languages!D232</f>
        <v>Parking area (Yes= -2, No= 0)</v>
      </c>
      <c r="C232" s="185" t="str">
        <f>VLOOKUP(A232,Languages!$A$4:$I$273,3+$A$1)</f>
        <v>Parkebenen (ja = -2, nein = 0)</v>
      </c>
    </row>
    <row r="233" spans="1:3">
      <c r="A233" s="200">
        <v>230</v>
      </c>
      <c r="B233" s="185" t="str">
        <f>Languages!D233</f>
        <v>Outside walls (Yes= -2, No= 0)</v>
      </c>
      <c r="C233" s="185" t="str">
        <f>VLOOKUP(A233,Languages!$A$4:$I$273,3+$A$1)</f>
        <v>Außenwände (ja = -2, nein = 0)</v>
      </c>
    </row>
    <row r="234" spans="1:3">
      <c r="A234" s="200">
        <v>231</v>
      </c>
      <c r="B234" s="185" t="str">
        <f>Languages!D234</f>
        <v>Presence of dirt</v>
      </c>
      <c r="C234" s="185" t="str">
        <f>VLOOKUP(A234,Languages!$A$4:$I$273,3+$A$1)</f>
        <v>Vorhandensein von Schmutz in den</v>
      </c>
    </row>
    <row r="235" spans="1:3">
      <c r="A235" s="200">
        <v>232</v>
      </c>
      <c r="B235" s="185" t="str">
        <f>Languages!D235</f>
        <v>Stairwells (Yes= -2, No= 0)</v>
      </c>
      <c r="C235" s="185" t="str">
        <f>VLOOKUP(A235,Languages!$A$4:$I$273,3+$A$1)</f>
        <v>Treppenhäusern (ja = -2, nein = 0)</v>
      </c>
    </row>
    <row r="236" spans="1:3">
      <c r="A236" s="200">
        <v>233</v>
      </c>
      <c r="B236" s="185" t="str">
        <f>Languages!D236</f>
        <v>Elevator (Yes= -2, No= 0)</v>
      </c>
      <c r="C236" s="185" t="str">
        <f>VLOOKUP(A236,Languages!$A$4:$I$273,3+$A$1)</f>
        <v>Aufzügen (ja = -2, nein = 0)</v>
      </c>
    </row>
    <row r="237" spans="1:3">
      <c r="A237" s="200">
        <v>234</v>
      </c>
      <c r="B237" s="185" t="str">
        <f>Languages!D237</f>
        <v>Toilets (Yes= -2, No= 0)</v>
      </c>
      <c r="C237" s="185" t="str">
        <f>VLOOKUP(A237,Languages!$A$4:$I$273,3+$A$1)</f>
        <v>Toiletten (ja = -2, nein = 0)</v>
      </c>
    </row>
    <row r="238" spans="1:3">
      <c r="A238" s="200">
        <v>235</v>
      </c>
      <c r="B238" s="185" t="str">
        <f>Languages!D238</f>
        <v>Parking area (Yes= -2, No= 0)</v>
      </c>
      <c r="C238" s="185" t="str">
        <f>VLOOKUP(A238,Languages!$A$4:$I$273,3+$A$1)</f>
        <v>Parkebenen (ja = -2, nein = 0)</v>
      </c>
    </row>
    <row r="239" spans="1:3">
      <c r="A239" s="200">
        <v>236</v>
      </c>
      <c r="B239" s="185" t="str">
        <f>Languages!D239</f>
        <v>Outside of entrance for pedestrians + cars (Yes= -2, No= 0)</v>
      </c>
      <c r="C239" s="185" t="str">
        <f>VLOOKUP(A239,Languages!$A$4:$I$273,3+$A$1)</f>
        <v>Vor den Eingängen und Einfahrten (ja = -2, nein = 0)</v>
      </c>
    </row>
    <row r="240" spans="1:3">
      <c r="A240" s="200">
        <v>237</v>
      </c>
      <c r="B240" s="185" t="str">
        <f>Languages!D240</f>
        <v>Poor quality of paint work</v>
      </c>
      <c r="C240" s="185" t="str">
        <f>VLOOKUP(A240,Languages!$A$4:$I$273,3+$A$1)</f>
        <v>Schlechte Qualität von Anstrichen in den</v>
      </c>
    </row>
    <row r="241" spans="1:3">
      <c r="A241" s="200">
        <v>238</v>
      </c>
      <c r="B241" s="185" t="str">
        <f>Languages!D241</f>
        <v>Stairwells (Yes= -2, No= 0)</v>
      </c>
      <c r="C241" s="185" t="str">
        <f>VLOOKUP(A241,Languages!$A$4:$I$273,3+$A$1)</f>
        <v>Treppenhäusern (ja = -2, nein = 0)</v>
      </c>
    </row>
    <row r="242" spans="1:3">
      <c r="A242" s="200">
        <v>239</v>
      </c>
      <c r="B242" s="185" t="str">
        <f>Languages!D242</f>
        <v>Elevator (Yes= -2, No= 0)</v>
      </c>
      <c r="C242" s="185" t="str">
        <f>VLOOKUP(A242,Languages!$A$4:$I$273,3+$A$1)</f>
        <v>Aufzügen (ja = -2, nein = 0)</v>
      </c>
    </row>
    <row r="243" spans="1:3">
      <c r="A243" s="200">
        <v>240</v>
      </c>
      <c r="B243" s="185" t="str">
        <f>Languages!D243</f>
        <v>Parking area (Yes= -2, No= 0)</v>
      </c>
      <c r="C243" s="185" t="str">
        <f>VLOOKUP(A243,Languages!$A$4:$I$273,3+$A$1)</f>
        <v>Parkebenen (ja = -2, nein = 0)</v>
      </c>
    </row>
    <row r="244" spans="1:3">
      <c r="A244" s="200">
        <v>241</v>
      </c>
      <c r="B244" s="185" t="str">
        <f>Languages!D244</f>
        <v>Poor quality horizontal markings (Yes= -2, No= 0)</v>
      </c>
      <c r="C244" s="185" t="str">
        <f>VLOOKUP(A244,Languages!$A$4:$I$273,3+$A$1)</f>
        <v>Schlechte Qualität der Bodenmarkierungen (ja = 2, nein = 0)</v>
      </c>
    </row>
    <row r="245" spans="1:3">
      <c r="A245" s="200">
        <v>242</v>
      </c>
      <c r="B245" s="185" t="str">
        <f>Languages!D245</f>
        <v xml:space="preserve">Poor quality/lack of maintenance (pot holes ,damages) </v>
      </c>
      <c r="C245" s="185" t="str">
        <f>VLOOKUP(A245,Languages!$A$4:$I$273,3+$A$1)</f>
        <v xml:space="preserve">Mangelhafte Instandhaltung (Schlaglöcher, bauliche Mängel, etc.) </v>
      </c>
    </row>
    <row r="246" spans="1:3">
      <c r="A246" s="200">
        <v>243</v>
      </c>
      <c r="B246" s="185" t="str">
        <f>Languages!D246</f>
        <v>Floors (Yes= -2, No= 0)</v>
      </c>
      <c r="C246" s="185" t="str">
        <f>VLOOKUP(A246,Languages!$A$4:$I$273,3+$A$1)</f>
        <v>Boden (ja = -2, nein = 0)</v>
      </c>
    </row>
    <row r="247" spans="1:3">
      <c r="A247" s="200">
        <v>244</v>
      </c>
      <c r="B247" s="185" t="str">
        <f>Languages!D247</f>
        <v>Walls (Yes= -2, No= 0)</v>
      </c>
      <c r="C247" s="185" t="str">
        <f>VLOOKUP(A247,Languages!$A$4:$I$273,3+$A$1)</f>
        <v>Wänden (ja = -2, nein = 0)</v>
      </c>
    </row>
    <row r="248" spans="1:3">
      <c r="A248" s="200">
        <v>245</v>
      </c>
      <c r="B248" s="185" t="str">
        <f>Languages!D248</f>
        <v>Evidence of standing water (Yes= -2, No= 0)</v>
      </c>
      <c r="C248" s="185" t="str">
        <f>VLOOKUP(A248,Languages!$A$4:$I$273,3+$A$1)</f>
        <v>Vorhandensein von Pfützen (ja = -2, nein = 0)</v>
      </c>
    </row>
    <row r="249" spans="1:3">
      <c r="A249" s="200">
        <v>246</v>
      </c>
      <c r="B249" s="185" t="str">
        <f>Languages!D249</f>
        <v>Evidence of bad smells</v>
      </c>
      <c r="C249" s="185" t="str">
        <f>VLOOKUP(A249,Languages!$A$4:$I$273,3+$A$1)</f>
        <v>Vorhandensein von üblen Gerüchen in den</v>
      </c>
    </row>
    <row r="250" spans="1:3">
      <c r="A250" s="200">
        <v>247</v>
      </c>
      <c r="B250" s="185" t="str">
        <f>Languages!D250</f>
        <v>Elevators (Yes= -2, No= 0)</v>
      </c>
      <c r="C250" s="185" t="str">
        <f>VLOOKUP(A250,Languages!$A$4:$I$273,3+$A$1)</f>
        <v>Aufzügen (ja = -2, nein = 0)</v>
      </c>
    </row>
    <row r="251" spans="1:3">
      <c r="A251" s="200">
        <v>248</v>
      </c>
      <c r="B251" s="185" t="str">
        <f>Languages!D251</f>
        <v>Stairwells (Yes= -2, No= 0)</v>
      </c>
      <c r="C251" s="185" t="str">
        <f>VLOOKUP(A251,Languages!$A$4:$I$273,3+$A$1)</f>
        <v>Treppenhäusern (ja = -2, nein = 0)</v>
      </c>
    </row>
    <row r="252" spans="1:3">
      <c r="A252" s="200">
        <v>249</v>
      </c>
      <c r="B252" s="185" t="str">
        <f>Languages!D252</f>
        <v>Parking deck (Yes= -2, No= 0)</v>
      </c>
      <c r="C252" s="185" t="str">
        <f>VLOOKUP(A252,Languages!$A$4:$I$273,3+$A$1)</f>
        <v>Parkebenen (ja = -2, nein = 0)</v>
      </c>
    </row>
    <row r="253" spans="1:3" ht="28.5">
      <c r="A253" s="200">
        <v>250</v>
      </c>
      <c r="B253" s="185" t="str">
        <f>Languages!D253</f>
        <v>Over 15% of parking spaces in cul-de-sac without occupancy indication. (Yes= -5, No=0)</v>
      </c>
      <c r="C253" s="185" t="str">
        <f>VLOOKUP(A253,Languages!$A$4:$I$273,3+$A$1)</f>
        <v>Über 15% der Stellplätze in Sackgassen ohne Anzeige der Belegung (ja = 5, nein = 0)</v>
      </c>
    </row>
    <row r="254" spans="1:3" ht="42.75">
      <c r="A254" s="200">
        <v>251</v>
      </c>
      <c r="B254" s="185" t="str">
        <f>Languages!D254</f>
        <v>Various points of criticism (to explain!)
[E.g. hollow sound, squeaking tyres, unintended visitors, etc.] up to -10</v>
      </c>
      <c r="C254" s="185" t="str">
        <f>VLOOKUP(A254,Languages!$A$4:$I$273,3+$A$1)</f>
        <v>Verschiedene Kritikpunkte (zu erläutern!)
[z.B.: Lärm, quietschende Reifen, unerwünschtes Publikum, etc.] bis zu-10 Pkt.</v>
      </c>
    </row>
    <row r="255" spans="1:3">
      <c r="A255" s="200">
        <v>252</v>
      </c>
      <c r="B255" s="185" t="str">
        <f>Languages!D255</f>
        <v>Penalty for Mandatory Condition 1.4 Applies</v>
      </c>
      <c r="C255" s="185" t="str">
        <f>VLOOKUP(A255,Languages!$A$4:$I$273,3+$A$1)</f>
        <v>Strafabzug für Mindestanforderung 1.4 kommt zur Anwendung.</v>
      </c>
    </row>
    <row r="256" spans="1:3">
      <c r="A256" s="200">
        <v>253</v>
      </c>
      <c r="B256" s="185" t="str">
        <f>Languages!D256</f>
        <v>Bonus Points</v>
      </c>
      <c r="C256" s="185" t="str">
        <f>VLOOKUP(A256,Languages!$A$4:$I$273,3+$A$1)</f>
        <v>Bonuspunkte</v>
      </c>
    </row>
    <row r="257" spans="1:3">
      <c r="A257" s="200">
        <v>254</v>
      </c>
      <c r="B257" s="185" t="str">
        <f>Languages!D257</f>
        <v>Extra provisions in car park</v>
      </c>
      <c r="C257" s="185" t="str">
        <f>VLOOKUP(A257,Languages!$A$4:$I$273,3+$A$1)</f>
        <v>Zusätzliche Einrichtungen im Parkhaus:</v>
      </c>
    </row>
    <row r="258" spans="1:3">
      <c r="A258" s="200">
        <v>255</v>
      </c>
      <c r="B258" s="185" t="str">
        <f>Languages!D258</f>
        <v>Special motorcycle area (Yes= 1, No= 0)</v>
      </c>
      <c r="C258" s="185" t="str">
        <f>VLOOKUP(A258,Languages!$A$4:$I$273,3+$A$1)</f>
        <v>Motorradstellplätze (ja = 1, nein = 0)</v>
      </c>
    </row>
    <row r="259" spans="1:3">
      <c r="A259" s="200">
        <v>256</v>
      </c>
      <c r="B259" s="185" t="str">
        <f>Languages!D259</f>
        <v>Lockers for customers’ use (Yes= 1, No= 0)</v>
      </c>
      <c r="C259" s="185" t="str">
        <f>VLOOKUP(A259,Languages!$A$4:$I$273,3+$A$1)</f>
        <v>Schließfächer (ja = 1, nein = 0)</v>
      </c>
    </row>
    <row r="260" spans="1:3">
      <c r="A260" s="200">
        <v>257</v>
      </c>
      <c r="B260" s="185" t="str">
        <f>Languages!D260</f>
        <v>Other aids (Yes= 1, No= 0)</v>
      </c>
      <c r="C260" s="185" t="str">
        <f>VLOOKUP(A260,Languages!$A$4:$I$273,3+$A$1)</f>
        <v>Andere Angebote (ja = 1, nein = 0)</v>
      </c>
    </row>
    <row r="261" spans="1:3">
      <c r="A261" s="200">
        <v>258</v>
      </c>
      <c r="B261" s="185" t="str">
        <f>Languages!D261</f>
        <v>Bicycle rent (Yes= 1, No= 0)</v>
      </c>
      <c r="C261" s="185" t="str">
        <f>VLOOKUP(A261,Languages!$A$4:$I$273,3+$A$1)</f>
        <v>Fahrradverleih (ja = 1, nein = 0)</v>
      </c>
    </row>
    <row r="262" spans="1:3">
      <c r="A262" s="200">
        <v>259</v>
      </c>
      <c r="B262" s="185" t="str">
        <f>Languages!D262</f>
        <v>Other Driver Assistance (Yes= 1, No= 0)</v>
      </c>
      <c r="C262" s="185" t="str">
        <f>VLOOKUP(A262,Languages!$A$4:$I$273,3+$A$1)</f>
        <v>Andere Fahrerservices (ja = 1, nein = 0)</v>
      </c>
    </row>
    <row r="263" spans="1:3">
      <c r="A263" s="200">
        <v>260</v>
      </c>
      <c r="B263" s="185" t="str">
        <f>Languages!D263</f>
        <v>Vending Machines (Yes= 1, No= 0)</v>
      </c>
      <c r="C263" s="185" t="str">
        <f>VLOOKUP(A263,Languages!$A$4:$I$273,3+$A$1)</f>
        <v>Verkaufsautomaten (ja = 1, nein = 0)</v>
      </c>
    </row>
    <row r="264" spans="1:3">
      <c r="A264" s="200">
        <v>261</v>
      </c>
      <c r="B264" s="185" t="str">
        <f>Languages!D264</f>
        <v>Heart Defibrillator (Yes= 1, No= 0)</v>
      </c>
      <c r="C264" s="185" t="str">
        <f>VLOOKUP(A264,Languages!$A$4:$I$273,3+$A$1)</f>
        <v>Defibrillator (ja = 1, nein = 0)</v>
      </c>
    </row>
    <row r="265" spans="1:3">
      <c r="A265" s="200">
        <v>262</v>
      </c>
      <c r="B265" s="185" t="str">
        <f>Languages!D265</f>
        <v>First aid trained staff (Yes= 1, No= 0)</v>
      </c>
      <c r="C265" s="185" t="str">
        <f>VLOOKUP(A265,Languages!$A$4:$I$273,3+$A$1)</f>
        <v>Personal mit Erste-Hilfe-Ausbildung (ja = 1, nein = 0)</v>
      </c>
    </row>
    <row r="266" spans="1:3">
      <c r="A266" s="200">
        <v>263</v>
      </c>
      <c r="B266" s="185" t="str">
        <f>Languages!D266</f>
        <v>Real time traffic data (Yes= 1, No= 0)</v>
      </c>
      <c r="C266" s="185" t="str">
        <f>VLOOKUP(A266,Languages!$A$4:$I$273,3+$A$1)</f>
        <v>Echtzeit-Verkehrsinformationen (ja = 1, nein = 0)</v>
      </c>
    </row>
    <row r="267" spans="1:3" ht="28.5">
      <c r="A267" s="200">
        <v>264</v>
      </c>
      <c r="B267" s="185" t="str">
        <f>Languages!D267</f>
        <v>Other real time accessible information (e.g. local events) (Yes= 1, No= 0)</v>
      </c>
      <c r="C267" s="185" t="str">
        <f>VLOOKUP(A267,Languages!$A$4:$I$273,3+$A$1)</f>
        <v>Andere aktuelle Informationen  (z.B. lokale Veranstaltungen) (ja = 1, nein = 0)</v>
      </c>
    </row>
    <row r="268" spans="1:3" ht="28.5">
      <c r="A268" s="200">
        <v>265</v>
      </c>
      <c r="B268" s="185" t="str">
        <f>Languages!D268</f>
        <v>Measures to avoid traffic queues at peak hours (i.e. tidal lane at car entry/exit) - (Yes= 3, No= 0)</v>
      </c>
      <c r="C268" s="185" t="str">
        <f>VLOOKUP(A268,Languages!$A$4:$I$273,3+$A$1)</f>
        <v>Maßnahmen zur Verbesserung des Verkehrsablaufes in Spitzenstunden (z.B. tageszeitlich wechselnde Ein-/Ausfahrtsspuren) - (ja = 3, nein = 0)</v>
      </c>
    </row>
    <row r="269" spans="1:3" ht="28.5">
      <c r="A269" s="200">
        <v>266</v>
      </c>
      <c r="B269" s="185" t="str">
        <f>Languages!D269</f>
        <v>Turn around possibility for cars before height barrier or full sign to prevent reversing (Yes= 3, No= 0)</v>
      </c>
      <c r="C269" s="185" t="str">
        <f>VLOOKUP(A269,Languages!$A$4:$I$273,3+$A$1)</f>
        <v>Wendemöglichkeit für Fahrzeuge vor der Höhenbegrenzung oder besondere Anzeigen zur Vermeidung von Rückwärtsfahrten  (ja = 3, nein = 0)</v>
      </c>
    </row>
    <row r="270" spans="1:3">
      <c r="A270" s="200">
        <v>267</v>
      </c>
      <c r="B270" s="185" t="str">
        <f>Languages!D270</f>
        <v>Customer service desk (Yes= 1, No= 0)</v>
      </c>
      <c r="C270" s="185" t="str">
        <f>VLOOKUP(A270,Languages!$A$4:$I$273,3+$A$1)</f>
        <v>Parkhausaufsicht mit Bedientresen (ja = 1, nein = 0)</v>
      </c>
    </row>
    <row r="271" spans="1:3" ht="42.75">
      <c r="A271" s="200">
        <v>268</v>
      </c>
      <c r="B271" s="185" t="str">
        <f>Languages!D271</f>
        <v>Escalators and/or travellators
(To/from all levels =5, To/from some levels =3, No Escalators or Travellators = 0)</v>
      </c>
      <c r="C271" s="185" t="str">
        <f>VLOOKUP(A271,Languages!$A$4:$I$273,3+$A$1)</f>
        <v>Rolltreppen oder Rollsteige
(von/zu allen Etagen = 5, nur zu bestimmten Etagen = 3, keine Rolltreppen oder Rollsteige = 0)</v>
      </c>
    </row>
    <row r="272" spans="1:3" ht="42.75">
      <c r="A272" s="200">
        <v>269</v>
      </c>
      <c r="B272" s="185" t="str">
        <f>Languages!D272</f>
        <v>Localisation of parked cars by ticket or license plate
(Yes= 1, No= 0)</v>
      </c>
      <c r="C272" s="185" t="str">
        <f>VLOOKUP(A272,Languages!$A$4:$I$273,3+$A$1)</f>
        <v>Lokalisierung von Fahrzeugen durch den Parkschein oder das Fahrzeugkennzeichen
(ja = 1, nein = 0)</v>
      </c>
    </row>
    <row r="273" spans="1:3" ht="42.75">
      <c r="A273" s="201">
        <v>270</v>
      </c>
      <c r="B273" s="186" t="str">
        <f>Languages!D273</f>
        <v>Other positive points e.g. extra services, friendly staff, tiled walls/floors, good fit of the car park in cityscape etc up to ten additional bonus points. To be explicitly identified.</v>
      </c>
      <c r="C273" s="186" t="str">
        <f>VLOOKUP(A273,Languages!$A$4:$I$273,3+$A$1)</f>
        <v>Andere positive Punkte oder Zusatzleistungen, wie freundliches Personal, gekachelte Wände/Böden, gutes Einfügen des Parkhauses in das Stadtbild usw. (zu beschreiben). (bis zu 10 Punkte).</v>
      </c>
    </row>
    <row r="274" spans="1:3">
      <c r="B274" s="92"/>
    </row>
    <row r="275" spans="1:3" ht="21">
      <c r="A275" s="195" t="s">
        <v>2721</v>
      </c>
      <c r="B275" s="352"/>
      <c r="C275" s="196"/>
    </row>
    <row r="276" spans="1:3">
      <c r="A276" s="321">
        <v>1</v>
      </c>
      <c r="B276" s="322" t="s">
        <v>456</v>
      </c>
      <c r="C276" s="323" t="str">
        <f>VLOOKUP(A276,Options!$A$4:$I$273,3+$A$1)</f>
        <v>Morgen</v>
      </c>
    </row>
    <row r="277" spans="1:3">
      <c r="A277" s="324">
        <v>2</v>
      </c>
      <c r="B277" s="325" t="s">
        <v>457</v>
      </c>
      <c r="C277" s="326" t="str">
        <f>VLOOKUP(A277,Options!$A$4:$I$273,3+$A$1)</f>
        <v>Nachmittag</v>
      </c>
    </row>
    <row r="278" spans="1:3">
      <c r="A278" s="324">
        <v>3</v>
      </c>
      <c r="B278" s="325" t="s">
        <v>458</v>
      </c>
      <c r="C278" s="326" t="str">
        <f>VLOOKUP(A278,Options!$A$4:$I$273,3+$A$1)</f>
        <v>Abend</v>
      </c>
    </row>
    <row r="279" spans="1:3">
      <c r="A279" s="324">
        <v>4</v>
      </c>
      <c r="B279" s="325"/>
      <c r="C279" s="326"/>
    </row>
    <row r="280" spans="1:3">
      <c r="A280" s="324">
        <v>5</v>
      </c>
      <c r="B280" s="325" t="s">
        <v>459</v>
      </c>
      <c r="C280" s="326" t="str">
        <f>VLOOKUP(A280,Options!$A$4:$I$273,3+$A$1)</f>
        <v>sonnig</v>
      </c>
    </row>
    <row r="281" spans="1:3">
      <c r="A281" s="324">
        <v>6</v>
      </c>
      <c r="B281" s="325" t="s">
        <v>460</v>
      </c>
      <c r="C281" s="326" t="str">
        <f>VLOOKUP(A281,Options!$A$4:$I$273,3+$A$1)</f>
        <v>bewölkt</v>
      </c>
    </row>
    <row r="282" spans="1:3">
      <c r="A282" s="324">
        <v>7</v>
      </c>
      <c r="B282" s="325" t="s">
        <v>461</v>
      </c>
      <c r="C282" s="326" t="str">
        <f>VLOOKUP(A282,Options!$A$4:$I$273,3+$A$1)</f>
        <v>Regen</v>
      </c>
    </row>
    <row r="283" spans="1:3">
      <c r="A283" s="324">
        <v>8</v>
      </c>
      <c r="B283" s="325" t="s">
        <v>462</v>
      </c>
      <c r="C283" s="326" t="str">
        <f>VLOOKUP(A283,Options!$A$4:$I$273,3+$A$1)</f>
        <v>Dämmerung</v>
      </c>
    </row>
    <row r="284" spans="1:3">
      <c r="A284" s="324">
        <v>9</v>
      </c>
      <c r="B284" s="325" t="s">
        <v>463</v>
      </c>
      <c r="C284" s="326" t="str">
        <f>VLOOKUP(A284,Options!$A$4:$I$273,3+$A$1)</f>
        <v>Nacht</v>
      </c>
    </row>
    <row r="285" spans="1:3">
      <c r="A285" s="324">
        <v>10</v>
      </c>
      <c r="B285" s="325"/>
      <c r="C285" s="326"/>
    </row>
    <row r="286" spans="1:3">
      <c r="A286" s="324">
        <v>11</v>
      </c>
      <c r="B286" s="325" t="s">
        <v>464</v>
      </c>
      <c r="C286" s="326" t="str">
        <f>VLOOKUP(A286,Options!$A$4:$I$273,3+$A$1)</f>
        <v xml:space="preserve"> &gt; 75%</v>
      </c>
    </row>
    <row r="287" spans="1:3">
      <c r="A287" s="324">
        <v>12</v>
      </c>
      <c r="B287" s="325" t="s">
        <v>466</v>
      </c>
      <c r="C287" s="326" t="str">
        <f>VLOOKUP(A287,Options!$A$4:$I$273,3+$A$1)</f>
        <v xml:space="preserve"> 50% - 75%</v>
      </c>
    </row>
    <row r="288" spans="1:3">
      <c r="A288" s="324">
        <v>13</v>
      </c>
      <c r="B288" s="325" t="s">
        <v>467</v>
      </c>
      <c r="C288" s="326" t="str">
        <f>VLOOKUP(A288,Options!$A$4:$I$273,3+$A$1)</f>
        <v>etwa 50%</v>
      </c>
    </row>
    <row r="289" spans="1:3">
      <c r="A289" s="324">
        <v>14</v>
      </c>
      <c r="B289" s="325" t="s">
        <v>468</v>
      </c>
      <c r="C289" s="326" t="str">
        <f>VLOOKUP(A289,Options!$A$4:$I$273,3+$A$1)</f>
        <v xml:space="preserve"> 25% - 50%</v>
      </c>
    </row>
    <row r="290" spans="1:3">
      <c r="A290" s="324">
        <v>15</v>
      </c>
      <c r="B290" s="325" t="s">
        <v>465</v>
      </c>
      <c r="C290" s="326" t="str">
        <f>VLOOKUP(A290,Options!$A$4:$I$273,3+$A$1)</f>
        <v>&lt; 25%</v>
      </c>
    </row>
    <row r="291" spans="1:3">
      <c r="A291" s="324">
        <v>16</v>
      </c>
      <c r="B291" s="325"/>
      <c r="C291" s="326"/>
    </row>
    <row r="292" spans="1:3">
      <c r="A292" s="324">
        <v>17</v>
      </c>
      <c r="B292" s="325" t="s">
        <v>115</v>
      </c>
      <c r="C292" s="326" t="str">
        <f>VLOOKUP(A292,Options!$A$4:$I$273,3+$A$1)</f>
        <v>OK</v>
      </c>
    </row>
    <row r="293" spans="1:3">
      <c r="A293" s="324">
        <v>18</v>
      </c>
      <c r="B293" s="325" t="s">
        <v>116</v>
      </c>
      <c r="C293" s="326" t="str">
        <f>VLOOKUP(A293,Options!$A$4:$I$273,3+$A$1)</f>
        <v>Mangel</v>
      </c>
    </row>
    <row r="294" spans="1:3">
      <c r="A294" s="324">
        <v>19</v>
      </c>
      <c r="B294" s="325"/>
      <c r="C294" s="326"/>
    </row>
    <row r="295" spans="1:3">
      <c r="A295" s="324">
        <v>20</v>
      </c>
      <c r="B295" s="325" t="s">
        <v>130</v>
      </c>
      <c r="C295" s="326" t="str">
        <f>VLOOKUP(A295,Options!$A$4:$I$273,3+$A$1)</f>
        <v>Ja</v>
      </c>
    </row>
    <row r="296" spans="1:3">
      <c r="A296" s="324">
        <v>21</v>
      </c>
      <c r="B296" s="325" t="s">
        <v>131</v>
      </c>
      <c r="C296" s="326" t="str">
        <f>VLOOKUP(A296,Options!$A$4:$I$273,3+$A$1)</f>
        <v>Nein</v>
      </c>
    </row>
    <row r="297" spans="1:3">
      <c r="A297" s="324">
        <v>22</v>
      </c>
      <c r="B297" s="325" t="s">
        <v>211</v>
      </c>
      <c r="C297" s="326" t="str">
        <f>VLOOKUP(A297,Options!$A$4:$I$273,3+$A$1)</f>
        <v>unzutreffend</v>
      </c>
    </row>
    <row r="298" spans="1:3">
      <c r="A298" s="324">
        <v>23</v>
      </c>
      <c r="B298" s="325" t="s">
        <v>213</v>
      </c>
      <c r="C298" s="326" t="str">
        <f>VLOOKUP(A298,Options!$A$4:$I$273,3+$A$1)</f>
        <v>verständliche Beschilderung</v>
      </c>
    </row>
    <row r="299" spans="1:3">
      <c r="A299" s="324">
        <v>24</v>
      </c>
      <c r="B299" s="325" t="s">
        <v>214</v>
      </c>
      <c r="C299" s="326" t="str">
        <f>VLOOKUP(A299,Options!$A$4:$I$273,3+$A$1)</f>
        <v>unvollständige Beschilderung</v>
      </c>
    </row>
    <row r="300" spans="1:3">
      <c r="A300" s="324">
        <v>25</v>
      </c>
      <c r="B300" s="325" t="s">
        <v>215</v>
      </c>
      <c r="C300" s="326" t="str">
        <f>VLOOKUP(A300,Options!$A$4:$I$273,3+$A$1)</f>
        <v>keine Beschilderung</v>
      </c>
    </row>
    <row r="301" spans="1:3">
      <c r="A301" s="324">
        <v>26</v>
      </c>
      <c r="B301" s="325"/>
      <c r="C301" s="326"/>
    </row>
    <row r="302" spans="1:3">
      <c r="A302" s="324">
        <v>27</v>
      </c>
      <c r="B302" s="325" t="s">
        <v>217</v>
      </c>
      <c r="C302" s="326" t="str">
        <f>VLOOKUP(A302,Options!$A$4:$I$273,3+$A$1)</f>
        <v>0%-2%</v>
      </c>
    </row>
    <row r="303" spans="1:3">
      <c r="A303" s="324">
        <v>28</v>
      </c>
      <c r="B303" s="325" t="s">
        <v>218</v>
      </c>
      <c r="C303" s="326" t="str">
        <f>VLOOKUP(A303,Options!$A$4:$I$273,3+$A$1)</f>
        <v>2%-5%</v>
      </c>
    </row>
    <row r="304" spans="1:3">
      <c r="A304" s="324">
        <v>29</v>
      </c>
      <c r="B304" s="325" t="s">
        <v>216</v>
      </c>
      <c r="C304" s="326" t="str">
        <f>VLOOKUP(A304,Options!$A$4:$I$273,3+$A$1)</f>
        <v>über 5%</v>
      </c>
    </row>
    <row r="305" spans="1:3">
      <c r="A305" s="324">
        <v>30</v>
      </c>
      <c r="B305" s="325"/>
      <c r="C305" s="326"/>
    </row>
    <row r="306" spans="1:3">
      <c r="A306" s="324">
        <v>31</v>
      </c>
      <c r="B306" s="325" t="s">
        <v>219</v>
      </c>
      <c r="C306" s="326" t="str">
        <f>VLOOKUP(A306,Options!$A$4:$I$273,3+$A$1)</f>
        <v>Ja</v>
      </c>
    </row>
    <row r="307" spans="1:3">
      <c r="A307" s="324">
        <v>32</v>
      </c>
      <c r="B307" s="325" t="s">
        <v>220</v>
      </c>
      <c r="C307" s="326" t="str">
        <f>VLOOKUP(A307,Options!$A$4:$I$273,3+$A$1)</f>
        <v>kein Schutz</v>
      </c>
    </row>
    <row r="308" spans="1:3">
      <c r="A308" s="324">
        <v>33</v>
      </c>
      <c r="B308" s="325" t="s">
        <v>221</v>
      </c>
      <c r="C308" s="326" t="str">
        <f>VLOOKUP(A308,Options!$A$4:$I$273,3+$A$1)</f>
        <v>Keine Schrammborde im Ein-/Ausfahrtsbereich</v>
      </c>
    </row>
    <row r="309" spans="1:3">
      <c r="A309" s="324">
        <v>34</v>
      </c>
      <c r="B309" s="325"/>
      <c r="C309" s="326"/>
    </row>
    <row r="310" spans="1:3">
      <c r="A310" s="324">
        <v>35</v>
      </c>
      <c r="B310" s="325" t="s">
        <v>223</v>
      </c>
      <c r="C310" s="326" t="str">
        <f>VLOOKUP(A310,Options!$A$4:$I$273,3+$A$1)</f>
        <v>rutschhemmend</v>
      </c>
    </row>
    <row r="311" spans="1:3">
      <c r="A311" s="324">
        <v>36</v>
      </c>
      <c r="B311" s="325" t="s">
        <v>224</v>
      </c>
      <c r="C311" s="326" t="str">
        <f>VLOOKUP(A311,Options!$A$4:$I$273,3+$A$1)</f>
        <v>rutschig wenn naß</v>
      </c>
    </row>
    <row r="312" spans="1:3">
      <c r="A312" s="324">
        <v>37</v>
      </c>
      <c r="B312" s="325"/>
      <c r="C312" s="326"/>
    </row>
    <row r="313" spans="1:3">
      <c r="A313" s="324">
        <v>38</v>
      </c>
      <c r="B313" s="325" t="s">
        <v>225</v>
      </c>
      <c r="C313" s="326" t="str">
        <f>VLOOKUP(A313,Options!$A$4:$I$273,3+$A$1)</f>
        <v>&lt; 3 m</v>
      </c>
    </row>
    <row r="314" spans="1:3">
      <c r="A314" s="324">
        <v>39</v>
      </c>
      <c r="B314" s="325" t="s">
        <v>226</v>
      </c>
      <c r="C314" s="326" t="str">
        <f>VLOOKUP(A314,Options!$A$4:$I$273,3+$A$1)</f>
        <v>3m - 3.3m</v>
      </c>
    </row>
    <row r="315" spans="1:3">
      <c r="A315" s="324">
        <v>40</v>
      </c>
      <c r="B315" s="325" t="s">
        <v>227</v>
      </c>
      <c r="C315" s="326" t="str">
        <f>VLOOKUP(A315,Options!$A$4:$I$273,3+$A$1)</f>
        <v>&gt; 3.3m</v>
      </c>
    </row>
    <row r="316" spans="1:3">
      <c r="A316" s="324">
        <v>41</v>
      </c>
      <c r="B316" s="325"/>
      <c r="C316" s="326"/>
    </row>
    <row r="317" spans="1:3">
      <c r="A317" s="324">
        <v>42</v>
      </c>
      <c r="B317" s="325" t="s">
        <v>228</v>
      </c>
      <c r="C317" s="326" t="str">
        <f>VLOOKUP(A317,Options!$A$4:$I$273,3+$A$1)</f>
        <v>Stütze beeinträchtigt den Stellplatz nicht</v>
      </c>
    </row>
    <row r="318" spans="1:3">
      <c r="A318" s="324">
        <v>43</v>
      </c>
      <c r="B318" s="325" t="s">
        <v>229</v>
      </c>
      <c r="C318" s="326" t="str">
        <f>VLOOKUP(A318,Options!$A$4:$I$273,3+$A$1)</f>
        <v>Stütze am Beginn des Stellplatzes</v>
      </c>
    </row>
    <row r="319" spans="1:3">
      <c r="A319" s="324">
        <v>44</v>
      </c>
      <c r="B319" s="325" t="s">
        <v>230</v>
      </c>
      <c r="C319" s="326" t="str">
        <f>VLOOKUP(A319,Options!$A$4:$I$273,3+$A$1)</f>
        <v>Stütze nahe der Fahrzeugtür</v>
      </c>
    </row>
    <row r="320" spans="1:3">
      <c r="A320" s="324">
        <v>45</v>
      </c>
      <c r="B320" s="325" t="s">
        <v>231</v>
      </c>
      <c r="C320" s="326" t="str">
        <f>VLOOKUP(A320,Options!$A$4:$I$273,3+$A$1)</f>
        <v>Stütze am Stellplatzende aber beeinträchtigt den Stellplatz</v>
      </c>
    </row>
    <row r="321" spans="1:3">
      <c r="A321" s="324">
        <v>46</v>
      </c>
      <c r="B321" s="325"/>
      <c r="C321" s="326"/>
    </row>
    <row r="322" spans="1:3">
      <c r="A322" s="324">
        <v>47</v>
      </c>
      <c r="B322" s="325" t="s">
        <v>149</v>
      </c>
      <c r="C322" s="326" t="str">
        <f>VLOOKUP(A322,Options!$A$4:$I$273,3+$A$1)</f>
        <v>Gut</v>
      </c>
    </row>
    <row r="323" spans="1:3">
      <c r="A323" s="324">
        <v>48</v>
      </c>
      <c r="B323" s="325" t="s">
        <v>150</v>
      </c>
      <c r="C323" s="326" t="str">
        <f>VLOOKUP(A323,Options!$A$4:$I$273,3+$A$1)</f>
        <v>Mittel</v>
      </c>
    </row>
    <row r="324" spans="1:3">
      <c r="A324" s="324">
        <v>49</v>
      </c>
      <c r="B324" s="325" t="s">
        <v>151</v>
      </c>
      <c r="C324" s="326" t="str">
        <f>VLOOKUP(A324,Options!$A$4:$I$273,3+$A$1)</f>
        <v>Schlecht</v>
      </c>
    </row>
    <row r="325" spans="1:3">
      <c r="A325" s="324">
        <v>50</v>
      </c>
      <c r="B325" s="325"/>
      <c r="C325" s="326"/>
    </row>
    <row r="326" spans="1:3">
      <c r="A326" s="324">
        <v>51</v>
      </c>
      <c r="B326" s="325" t="s">
        <v>234</v>
      </c>
      <c r="C326" s="326" t="str">
        <f>VLOOKUP(A326,Options!$A$4:$I$273,3+$A$1)</f>
        <v>Winkel 76°-90°</v>
      </c>
    </row>
    <row r="327" spans="1:3">
      <c r="A327" s="324">
        <v>52</v>
      </c>
      <c r="B327" s="325" t="s">
        <v>233</v>
      </c>
      <c r="C327" s="326" t="str">
        <f>VLOOKUP(A327,Options!$A$4:$I$273,3+$A$1)</f>
        <v>Winkel 45°-75°</v>
      </c>
    </row>
    <row r="328" spans="1:3">
      <c r="A328" s="324">
        <v>53</v>
      </c>
      <c r="B328" s="325"/>
      <c r="C328" s="326"/>
    </row>
    <row r="329" spans="1:3">
      <c r="A329" s="324">
        <v>54</v>
      </c>
      <c r="B329" s="325" t="s">
        <v>238</v>
      </c>
      <c r="C329" s="326" t="str">
        <f>VLOOKUP(A329,Options!$A$4:$I$273,3+$A$1)</f>
        <v xml:space="preserve"> 2.25 m - 2.30 m</v>
      </c>
    </row>
    <row r="330" spans="1:3">
      <c r="A330" s="324">
        <v>55</v>
      </c>
      <c r="B330" s="325" t="s">
        <v>239</v>
      </c>
      <c r="C330" s="326" t="str">
        <f>VLOOKUP(A330,Options!$A$4:$I$273,3+$A$1)</f>
        <v xml:space="preserve"> 2.30 m - 2.35 m</v>
      </c>
    </row>
    <row r="331" spans="1:3">
      <c r="A331" s="324">
        <v>56</v>
      </c>
      <c r="B331" s="325" t="s">
        <v>240</v>
      </c>
      <c r="C331" s="326" t="str">
        <f>VLOOKUP(A331,Options!$A$4:$I$273,3+$A$1)</f>
        <v xml:space="preserve"> 2.35 m - 2.40 m</v>
      </c>
    </row>
    <row r="332" spans="1:3">
      <c r="A332" s="324">
        <v>57</v>
      </c>
      <c r="B332" s="325" t="s">
        <v>241</v>
      </c>
      <c r="C332" s="326" t="str">
        <f>VLOOKUP(A332,Options!$A$4:$I$273,3+$A$1)</f>
        <v xml:space="preserve"> 2.40 m - 2.45 m</v>
      </c>
    </row>
    <row r="333" spans="1:3">
      <c r="A333" s="324">
        <v>58</v>
      </c>
      <c r="B333" s="325" t="s">
        <v>242</v>
      </c>
      <c r="C333" s="326" t="str">
        <f>VLOOKUP(A333,Options!$A$4:$I$273,3+$A$1)</f>
        <v xml:space="preserve"> 2.45 m - 2.50 m</v>
      </c>
    </row>
    <row r="334" spans="1:3">
      <c r="A334" s="324">
        <v>59</v>
      </c>
      <c r="B334" s="325" t="s">
        <v>243</v>
      </c>
      <c r="C334" s="326" t="str">
        <f>VLOOKUP(A334,Options!$A$4:$I$273,3+$A$1)</f>
        <v xml:space="preserve"> über 2.50 m</v>
      </c>
    </row>
    <row r="335" spans="1:3">
      <c r="A335" s="324">
        <v>60</v>
      </c>
      <c r="B335" s="325"/>
      <c r="C335" s="326"/>
    </row>
    <row r="336" spans="1:3">
      <c r="A336" s="324">
        <v>61</v>
      </c>
      <c r="B336" s="325" t="s">
        <v>244</v>
      </c>
      <c r="C336" s="326" t="str">
        <f>VLOOKUP(A336,Options!$A$4:$I$273,3+$A$1)</f>
        <v>(Not yet translated) Compliant with the table</v>
      </c>
    </row>
    <row r="337" spans="1:3">
      <c r="A337" s="324">
        <v>62</v>
      </c>
      <c r="B337" s="325" t="s">
        <v>245</v>
      </c>
      <c r="C337" s="326" t="str">
        <f>VLOOKUP(A337,Options!$A$4:$I$273,3+$A$1)</f>
        <v>bis zu 30 cm weniger</v>
      </c>
    </row>
    <row r="338" spans="1:3">
      <c r="A338" s="324">
        <v>63</v>
      </c>
      <c r="B338" s="325" t="s">
        <v>246</v>
      </c>
      <c r="C338" s="326" t="str">
        <f>VLOOKUP(A338,Options!$A$4:$I$273,3+$A$1)</f>
        <v>bis zu 60 cm weniger</v>
      </c>
    </row>
    <row r="339" spans="1:3">
      <c r="A339" s="324">
        <v>64</v>
      </c>
      <c r="B339" s="325" t="s">
        <v>247</v>
      </c>
      <c r="C339" s="326" t="str">
        <f>VLOOKUP(A339,Options!$A$4:$I$273,3+$A$1)</f>
        <v>über 60 cm weniger</v>
      </c>
    </row>
    <row r="340" spans="1:3">
      <c r="A340" s="324">
        <v>65</v>
      </c>
      <c r="B340" s="325"/>
      <c r="C340" s="326"/>
    </row>
    <row r="341" spans="1:3">
      <c r="A341" s="324">
        <v>66</v>
      </c>
      <c r="B341" s="325" t="s">
        <v>163</v>
      </c>
      <c r="C341" s="326" t="str">
        <f>VLOOKUP(A341,Options!$A$4:$I$273,3+$A$1)</f>
        <v>rutschhemmend</v>
      </c>
    </row>
    <row r="342" spans="1:3">
      <c r="A342" s="324">
        <v>67</v>
      </c>
      <c r="B342" s="325" t="s">
        <v>164</v>
      </c>
      <c r="C342" s="326" t="str">
        <f>VLOOKUP(A342,Options!$A$4:$I$273,3+$A$1)</f>
        <v>weich</v>
      </c>
    </row>
    <row r="343" spans="1:3">
      <c r="A343" s="324">
        <v>68</v>
      </c>
      <c r="B343" s="325" t="s">
        <v>165</v>
      </c>
      <c r="C343" s="326" t="str">
        <f>VLOOKUP(A343,Options!$A$4:$I$273,3+$A$1)</f>
        <v>Keine Rampen</v>
      </c>
    </row>
    <row r="344" spans="1:3">
      <c r="A344" s="324">
        <v>69</v>
      </c>
      <c r="B344" s="325"/>
      <c r="C344" s="326"/>
    </row>
    <row r="345" spans="1:3">
      <c r="A345" s="324">
        <v>70</v>
      </c>
      <c r="B345" s="325" t="s">
        <v>187</v>
      </c>
      <c r="C345" s="326" t="str">
        <f>VLOOKUP(A345,Options!$A$4:$I$273,3+$A$1)</f>
        <v>&lt; 2.00m</v>
      </c>
    </row>
    <row r="346" spans="1:3">
      <c r="A346" s="324">
        <v>71</v>
      </c>
      <c r="B346" s="325" t="s">
        <v>190</v>
      </c>
      <c r="C346" s="326" t="str">
        <f>VLOOKUP(A346,Options!$A$4:$I$273,3+$A$1)</f>
        <v>2.00m – 2.10m</v>
      </c>
    </row>
    <row r="347" spans="1:3">
      <c r="A347" s="324">
        <v>72</v>
      </c>
      <c r="B347" s="325" t="s">
        <v>188</v>
      </c>
      <c r="C347" s="326" t="str">
        <f>VLOOKUP(A347,Options!$A$4:$I$273,3+$A$1)</f>
        <v>2.10m – 2.20m</v>
      </c>
    </row>
    <row r="348" spans="1:3">
      <c r="A348" s="324">
        <v>73</v>
      </c>
      <c r="B348" s="325" t="s">
        <v>189</v>
      </c>
      <c r="C348" s="326" t="str">
        <f>VLOOKUP(A348,Options!$A$4:$I$273,3+$A$1)</f>
        <v>&gt; 2.20m</v>
      </c>
    </row>
    <row r="349" spans="1:3">
      <c r="A349" s="324">
        <v>74</v>
      </c>
      <c r="B349" s="325"/>
      <c r="C349" s="326"/>
    </row>
    <row r="350" spans="1:3">
      <c r="A350" s="324">
        <v>75</v>
      </c>
      <c r="B350" s="325" t="s">
        <v>191</v>
      </c>
      <c r="C350" s="326" t="str">
        <f>VLOOKUP(A350,Options!$A$4:$I$273,3+$A$1)</f>
        <v>Ja (automatisch oder offene Verbindung)</v>
      </c>
    </row>
    <row r="351" spans="1:3">
      <c r="A351" s="324">
        <v>76</v>
      </c>
      <c r="B351" s="325" t="s">
        <v>192</v>
      </c>
      <c r="C351" s="326" t="str">
        <f>VLOOKUP(A351,Options!$A$4:$I$273,3+$A$1)</f>
        <v>Leicht zu öffnen</v>
      </c>
    </row>
    <row r="352" spans="1:3">
      <c r="A352" s="324">
        <v>77</v>
      </c>
      <c r="B352" s="325" t="s">
        <v>131</v>
      </c>
      <c r="C352" s="326" t="str">
        <f>VLOOKUP(A352,Options!$A$4:$I$273,3+$A$1)</f>
        <v>Nein</v>
      </c>
    </row>
    <row r="353" spans="1:3">
      <c r="A353" s="324">
        <v>78</v>
      </c>
      <c r="B353" s="325"/>
      <c r="C353" s="326"/>
    </row>
    <row r="354" spans="1:3">
      <c r="A354" s="324">
        <v>79</v>
      </c>
      <c r="B354" s="325" t="s">
        <v>195</v>
      </c>
      <c r="C354" s="326" t="str">
        <f>VLOOKUP(A354,Options!$A$4:$I$273,3+$A$1)</f>
        <v>Jeder Fußgängerausgang</v>
      </c>
    </row>
    <row r="355" spans="1:3">
      <c r="A355" s="324">
        <v>80</v>
      </c>
      <c r="B355" s="325" t="s">
        <v>196</v>
      </c>
      <c r="C355" s="326" t="str">
        <f>VLOOKUP(A355,Options!$A$4:$I$273,3+$A$1)</f>
        <v>Eine Position</v>
      </c>
    </row>
    <row r="356" spans="1:3">
      <c r="A356" s="324">
        <v>81</v>
      </c>
      <c r="B356" s="325" t="s">
        <v>131</v>
      </c>
      <c r="C356" s="326" t="str">
        <f>VLOOKUP(A356,Options!$A$4:$I$273,3+$A$1)</f>
        <v>Nein</v>
      </c>
    </row>
    <row r="357" spans="1:3">
      <c r="A357" s="324">
        <v>82</v>
      </c>
      <c r="B357" s="325"/>
      <c r="C357" s="326"/>
    </row>
    <row r="358" spans="1:3">
      <c r="A358" s="324">
        <v>83</v>
      </c>
      <c r="B358" s="325" t="s">
        <v>201</v>
      </c>
      <c r="C358" s="326" t="str">
        <f>VLOOKUP(A358,Options!$A$4:$I$273,3+$A$1)</f>
        <v>Ein Aufzug</v>
      </c>
    </row>
    <row r="359" spans="1:3">
      <c r="A359" s="324">
        <v>84</v>
      </c>
      <c r="B359" s="325" t="s">
        <v>202</v>
      </c>
      <c r="C359" s="326" t="str">
        <f>VLOOKUP(A359,Options!$A$4:$I$273,3+$A$1)</f>
        <v>Zwei oder mehr Aufzüge</v>
      </c>
    </row>
    <row r="360" spans="1:3">
      <c r="A360" s="324">
        <v>85</v>
      </c>
      <c r="B360" s="325"/>
      <c r="C360" s="326"/>
    </row>
    <row r="361" spans="1:3">
      <c r="A361" s="324">
        <v>86</v>
      </c>
      <c r="B361" s="325" t="s">
        <v>204</v>
      </c>
      <c r="C361" s="326" t="str">
        <f>VLOOKUP(A361,Options!$A$4:$I$273,3+$A$1)</f>
        <v>Mehr als 8 Personen</v>
      </c>
    </row>
    <row r="362" spans="1:3">
      <c r="A362" s="324">
        <v>87</v>
      </c>
      <c r="B362" s="325" t="s">
        <v>205</v>
      </c>
      <c r="C362" s="326" t="str">
        <f>VLOOKUP(A362,Options!$A$4:$I$273,3+$A$1)</f>
        <v>4 bis 8 Personen</v>
      </c>
    </row>
    <row r="363" spans="1:3">
      <c r="A363" s="324">
        <v>88</v>
      </c>
      <c r="B363" s="325" t="s">
        <v>206</v>
      </c>
      <c r="C363" s="326" t="str">
        <f>VLOOKUP(A363,Options!$A$4:$I$273,3+$A$1)</f>
        <v>Weniger als 4</v>
      </c>
    </row>
    <row r="364" spans="1:3">
      <c r="A364" s="324">
        <v>89</v>
      </c>
      <c r="B364" s="325"/>
      <c r="C364" s="326"/>
    </row>
    <row r="365" spans="1:3">
      <c r="A365" s="324">
        <v>90</v>
      </c>
      <c r="B365" s="325" t="s">
        <v>207</v>
      </c>
      <c r="C365" s="326" t="str">
        <f>VLOOKUP(A365,Options!$A$4:$I$273,3+$A$1)</f>
        <v>Keine Sicht aus dem Aufzug</v>
      </c>
    </row>
    <row r="366" spans="1:3">
      <c r="A366" s="324">
        <v>91</v>
      </c>
      <c r="B366" s="325" t="s">
        <v>208</v>
      </c>
      <c r="C366" s="326" t="str">
        <f>VLOOKUP(A366,Options!$A$4:$I$273,3+$A$1)</f>
        <v>Verglaste Türen/Wände</v>
      </c>
    </row>
    <row r="367" spans="1:3">
      <c r="A367" s="324">
        <v>92</v>
      </c>
      <c r="B367" s="325" t="s">
        <v>200</v>
      </c>
      <c r="C367" s="326" t="str">
        <f>VLOOKUP(A367,Options!$A$4:$I$273,3+$A$1)</f>
        <v>Kein Aufzug</v>
      </c>
    </row>
    <row r="368" spans="1:3">
      <c r="A368" s="324">
        <v>93</v>
      </c>
      <c r="B368" s="327"/>
      <c r="C368" s="326"/>
    </row>
    <row r="369" spans="1:3">
      <c r="A369" s="324">
        <v>94</v>
      </c>
      <c r="B369" s="325" t="s">
        <v>257</v>
      </c>
      <c r="C369" s="326" t="str">
        <f>VLOOKUP(A369,Options!$A$4:$I$273,3+$A$1)</f>
        <v>&lt; 1.5 m</v>
      </c>
    </row>
    <row r="370" spans="1:3">
      <c r="A370" s="324">
        <v>95</v>
      </c>
      <c r="B370" s="325" t="s">
        <v>258</v>
      </c>
      <c r="C370" s="326" t="str">
        <f>VLOOKUP(A370,Options!$A$4:$I$273,3+$A$1)</f>
        <v>&gt; 1.5 m</v>
      </c>
    </row>
    <row r="371" spans="1:3">
      <c r="A371" s="324">
        <v>96</v>
      </c>
      <c r="B371" s="325"/>
      <c r="C371" s="326"/>
    </row>
    <row r="372" spans="1:3">
      <c r="A372" s="324">
        <v>97</v>
      </c>
      <c r="B372" s="325" t="s">
        <v>250</v>
      </c>
      <c r="C372" s="326" t="str">
        <f>VLOOKUP(A372,Options!$A$4:$I$273,3+$A$1)</f>
        <v>&lt; 90 cm</v>
      </c>
    </row>
    <row r="373" spans="1:3">
      <c r="A373" s="324">
        <v>98</v>
      </c>
      <c r="B373" s="325" t="s">
        <v>503</v>
      </c>
      <c r="C373" s="326" t="str">
        <f>VLOOKUP(A373,Options!$A$4:$I$273,3+$A$1)</f>
        <v>&gt;= 90 cm</v>
      </c>
    </row>
    <row r="374" spans="1:3">
      <c r="A374" s="324">
        <v>99</v>
      </c>
      <c r="B374" s="325"/>
      <c r="C374" s="326"/>
    </row>
    <row r="375" spans="1:3">
      <c r="A375" s="324">
        <v>100</v>
      </c>
      <c r="B375" s="325" t="s">
        <v>251</v>
      </c>
      <c r="C375" s="326" t="str">
        <f>VLOOKUP(A375,Options!$A$4:$I$273,3+$A$1)</f>
        <v>Verglaste Türen/Wände</v>
      </c>
    </row>
    <row r="376" spans="1:3">
      <c r="A376" s="324">
        <v>101</v>
      </c>
      <c r="B376" s="325" t="s">
        <v>252</v>
      </c>
      <c r="C376" s="326" t="str">
        <f>VLOOKUP(A376,Options!$A$4:$I$273,3+$A$1)</f>
        <v>Kein Glas</v>
      </c>
    </row>
    <row r="377" spans="1:3">
      <c r="A377" s="324">
        <v>102</v>
      </c>
      <c r="B377" s="325"/>
      <c r="C377" s="326"/>
    </row>
    <row r="378" spans="1:3">
      <c r="A378" s="324">
        <v>103</v>
      </c>
      <c r="B378" s="325" t="s">
        <v>259</v>
      </c>
      <c r="C378" s="326" t="str">
        <f>VLOOKUP(A378,Options!$A$4:$I$273,3+$A$1)</f>
        <v>Kein Handlauf</v>
      </c>
    </row>
    <row r="379" spans="1:3">
      <c r="A379" s="324">
        <v>104</v>
      </c>
      <c r="B379" s="325" t="s">
        <v>260</v>
      </c>
      <c r="C379" s="326" t="str">
        <f>VLOOKUP(A379,Options!$A$4:$I$273,3+$A$1)</f>
        <v>Eine Seite</v>
      </c>
    </row>
    <row r="380" spans="1:3">
      <c r="A380" s="324">
        <v>105</v>
      </c>
      <c r="B380" s="325" t="s">
        <v>261</v>
      </c>
      <c r="C380" s="326" t="str">
        <f>VLOOKUP(A380,Options!$A$4:$I$273,3+$A$1)</f>
        <v>Zwei Seiten</v>
      </c>
    </row>
    <row r="381" spans="1:3">
      <c r="A381" s="324">
        <v>106</v>
      </c>
      <c r="B381" s="325"/>
      <c r="C381" s="326"/>
    </row>
    <row r="382" spans="1:3">
      <c r="A382" s="324">
        <v>107</v>
      </c>
      <c r="B382" s="325" t="s">
        <v>263</v>
      </c>
      <c r="C382" s="326" t="str">
        <f>VLOOKUP(A382,Options!$A$4:$I$273,3+$A$1)</f>
        <v>Fenster/vergittert</v>
      </c>
    </row>
    <row r="383" spans="1:3">
      <c r="A383" s="324">
        <v>108</v>
      </c>
      <c r="B383" s="325" t="s">
        <v>262</v>
      </c>
      <c r="C383" s="326" t="str">
        <f>VLOOKUP(A383,Options!$A$4:$I$273,3+$A$1)</f>
        <v>Nichts</v>
      </c>
    </row>
    <row r="384" spans="1:3">
      <c r="A384" s="324">
        <v>109</v>
      </c>
      <c r="B384" s="325"/>
      <c r="C384" s="326"/>
    </row>
    <row r="385" spans="1:3">
      <c r="A385" s="324">
        <v>110</v>
      </c>
      <c r="B385" s="325" t="s">
        <v>295</v>
      </c>
      <c r="C385" s="326" t="str">
        <f>VLOOKUP(A385,Options!$A$4:$I$273,3+$A$1)</f>
        <v>24*7</v>
      </c>
    </row>
    <row r="386" spans="1:3">
      <c r="A386" s="324">
        <v>111</v>
      </c>
      <c r="B386" s="325" t="s">
        <v>296</v>
      </c>
      <c r="C386" s="326" t="str">
        <f>VLOOKUP(A386,Options!$A$4:$I$273,3+$A$1)</f>
        <v>Gesamte Öffnungszeit wenn nicht 24*7</v>
      </c>
    </row>
    <row r="387" spans="1:3">
      <c r="A387" s="324">
        <v>112</v>
      </c>
      <c r="B387" s="325" t="s">
        <v>294</v>
      </c>
      <c r="C387" s="326" t="str">
        <f>VLOOKUP(A387,Options!$A$4:$I$273,3+$A$1)</f>
        <v>Teilweise/nicht verfügbar</v>
      </c>
    </row>
    <row r="388" spans="1:3">
      <c r="A388" s="324">
        <v>113</v>
      </c>
      <c r="B388" s="325"/>
      <c r="C388" s="326"/>
    </row>
    <row r="389" spans="1:3">
      <c r="A389" s="324">
        <v>114</v>
      </c>
      <c r="B389" s="325" t="s">
        <v>295</v>
      </c>
      <c r="C389" s="326" t="str">
        <f>VLOOKUP(A389,Options!$A$4:$I$273,3+$A$1)</f>
        <v>24*7</v>
      </c>
    </row>
    <row r="390" spans="1:3">
      <c r="A390" s="324">
        <v>115</v>
      </c>
      <c r="B390" s="325" t="s">
        <v>298</v>
      </c>
      <c r="C390" s="326" t="str">
        <f>VLOOKUP(A390,Options!$A$4:$I$273,3+$A$1)</f>
        <v>Während der Öffnungszeiten</v>
      </c>
    </row>
    <row r="391" spans="1:3">
      <c r="A391" s="324">
        <v>116</v>
      </c>
      <c r="B391" s="325" t="s">
        <v>297</v>
      </c>
      <c r="C391" s="326" t="str">
        <f>VLOOKUP(A391,Options!$A$4:$I$273,3+$A$1)</f>
        <v>Weniger als die Öffnungszeiten</v>
      </c>
    </row>
    <row r="392" spans="1:3">
      <c r="A392" s="324">
        <v>117</v>
      </c>
      <c r="B392" s="325" t="s">
        <v>131</v>
      </c>
      <c r="C392" s="326" t="str">
        <f>VLOOKUP(A392,Options!$A$4:$I$273,3+$A$1)</f>
        <v>Nein</v>
      </c>
    </row>
    <row r="393" spans="1:3">
      <c r="A393" s="324">
        <v>118</v>
      </c>
      <c r="B393" s="325"/>
      <c r="C393" s="326"/>
    </row>
    <row r="394" spans="1:3">
      <c r="A394" s="324">
        <v>119</v>
      </c>
      <c r="B394" s="325" t="s">
        <v>300</v>
      </c>
      <c r="C394" s="326" t="str">
        <f>VLOOKUP(A394,Options!$A$4:$I$273,3+$A$1)</f>
        <v>Geschlossenes Tor/Rollgitter außerhalb der Öffnungszeit</v>
      </c>
    </row>
    <row r="395" spans="1:3">
      <c r="A395" s="324">
        <v>120</v>
      </c>
      <c r="B395" s="325" t="s">
        <v>301</v>
      </c>
      <c r="C395" s="326" t="str">
        <f>VLOOKUP(A395,Options!$A$4:$I$273,3+$A$1)</f>
        <v>Gesichert: Schnelllauftor tagsüber</v>
      </c>
    </row>
    <row r="396" spans="1:3">
      <c r="A396" s="324">
        <v>121</v>
      </c>
      <c r="B396" s="325" t="s">
        <v>303</v>
      </c>
      <c r="C396" s="326" t="str">
        <f>VLOOKUP(A396,Options!$A$4:$I$273,3+$A$1)</f>
        <v>Gesichert: langsam öffnendes Tor tagsüber</v>
      </c>
    </row>
    <row r="397" spans="1:3">
      <c r="A397" s="324">
        <v>122</v>
      </c>
      <c r="B397" s="325" t="s">
        <v>302</v>
      </c>
      <c r="C397" s="326" t="str">
        <f>VLOOKUP(A397,Options!$A$4:$I$273,3+$A$1)</f>
        <v>Keine Sicherung</v>
      </c>
    </row>
    <row r="398" spans="1:3">
      <c r="A398" s="324">
        <v>123</v>
      </c>
      <c r="B398" s="327"/>
      <c r="C398" s="326"/>
    </row>
    <row r="399" spans="1:3">
      <c r="A399" s="324">
        <v>124</v>
      </c>
      <c r="B399" s="325" t="s">
        <v>307</v>
      </c>
      <c r="C399" s="326" t="str">
        <f>VLOOKUP(A399,Options!$A$4:$I$273,3+$A$1)</f>
        <v>Größte Öffnung in Tür/Tor/Rollgitter &lt;= 15cm</v>
      </c>
    </row>
    <row r="400" spans="1:3">
      <c r="A400" s="324">
        <v>125</v>
      </c>
      <c r="B400" s="325" t="s">
        <v>308</v>
      </c>
      <c r="C400" s="326" t="str">
        <f>VLOOKUP(A400,Options!$A$4:$I$273,3+$A$1)</f>
        <v>Größte Öffnung in Tür/Tor/Rollgitter &gt; 15cm</v>
      </c>
    </row>
    <row r="401" spans="1:3">
      <c r="A401" s="324">
        <v>126</v>
      </c>
      <c r="B401" s="325" t="s">
        <v>305</v>
      </c>
      <c r="C401" s="326" t="str">
        <f>VLOOKUP(A401,Options!$A$4:$I$273,3+$A$1)</f>
        <v>Keine Öffnung</v>
      </c>
    </row>
    <row r="402" spans="1:3">
      <c r="A402" s="324">
        <v>127</v>
      </c>
      <c r="B402" s="325" t="s">
        <v>306</v>
      </c>
      <c r="C402" s="326" t="str">
        <f>VLOOKUP(A402,Options!$A$4:$I$273,3+$A$1)</f>
        <v>Unzutreffend (24 Stunden geöffnet)</v>
      </c>
    </row>
    <row r="403" spans="1:3">
      <c r="A403" s="324">
        <v>128</v>
      </c>
      <c r="B403" s="328"/>
      <c r="C403" s="326"/>
    </row>
    <row r="404" spans="1:3">
      <c r="A404" s="324">
        <v>129</v>
      </c>
      <c r="B404" s="325" t="s">
        <v>311</v>
      </c>
      <c r="C404" s="326" t="str">
        <f>VLOOKUP(A404,Options!$A$4:$I$273,3+$A$1)</f>
        <v>&lt;= 15 cm</v>
      </c>
    </row>
    <row r="405" spans="1:3">
      <c r="A405" s="324">
        <v>130</v>
      </c>
      <c r="B405" s="325" t="s">
        <v>313</v>
      </c>
      <c r="C405" s="326" t="str">
        <f>VLOOKUP(A405,Options!$A$4:$I$273,3+$A$1)</f>
        <v>&gt;15 cm oder keine Sicherung</v>
      </c>
    </row>
    <row r="406" spans="1:3">
      <c r="A406" s="324">
        <v>131</v>
      </c>
      <c r="B406" s="325" t="s">
        <v>312</v>
      </c>
      <c r="C406" s="326" t="str">
        <f>VLOOKUP(A406,Options!$A$4:$I$273,3+$A$1)</f>
        <v>Unzutreffend (keine Öffnungen nach außen)</v>
      </c>
    </row>
    <row r="407" spans="1:3">
      <c r="A407" s="324">
        <v>132</v>
      </c>
      <c r="B407" s="325"/>
      <c r="C407" s="326"/>
    </row>
    <row r="408" spans="1:3">
      <c r="A408" s="324">
        <v>133</v>
      </c>
      <c r="B408" s="325" t="s">
        <v>318</v>
      </c>
      <c r="C408" s="326" t="str">
        <f>VLOOKUP(A408,Options!$A$4:$I$273,3+$A$1)</f>
        <v>Ja/gut</v>
      </c>
    </row>
    <row r="409" spans="1:3">
      <c r="A409" s="324">
        <v>134</v>
      </c>
      <c r="B409" s="325" t="s">
        <v>317</v>
      </c>
      <c r="C409" s="326" t="str">
        <f>VLOOKUP(A409,Options!$A$4:$I$273,3+$A$1)</f>
        <v>Nein/schlecht</v>
      </c>
    </row>
    <row r="410" spans="1:3">
      <c r="A410" s="324">
        <v>135</v>
      </c>
      <c r="B410" s="325"/>
      <c r="C410" s="326"/>
    </row>
    <row r="411" spans="1:3">
      <c r="A411" s="324">
        <v>136</v>
      </c>
      <c r="B411" s="325" t="s">
        <v>149</v>
      </c>
      <c r="C411" s="326" t="str">
        <f>VLOOKUP(A411,Options!$A$4:$I$273,3+$A$1)</f>
        <v>Gut</v>
      </c>
    </row>
    <row r="412" spans="1:3">
      <c r="A412" s="324">
        <v>137</v>
      </c>
      <c r="B412" s="325" t="s">
        <v>319</v>
      </c>
      <c r="C412" s="326" t="str">
        <f>VLOOKUP(A412,Options!$A$4:$I$273,3+$A$1)</f>
        <v>Befriedigend</v>
      </c>
    </row>
    <row r="413" spans="1:3">
      <c r="A413" s="324">
        <v>138</v>
      </c>
      <c r="B413" s="325" t="s">
        <v>320</v>
      </c>
      <c r="C413" s="326" t="str">
        <f>VLOOKUP(A413,Options!$A$4:$I$273,3+$A$1)</f>
        <v>Schlecht</v>
      </c>
    </row>
    <row r="414" spans="1:3">
      <c r="A414" s="324">
        <v>139</v>
      </c>
      <c r="B414" s="325" t="s">
        <v>131</v>
      </c>
      <c r="C414" s="326" t="str">
        <f>VLOOKUP(A414,Options!$A$4:$I$273,3+$A$1)</f>
        <v>Nein</v>
      </c>
    </row>
    <row r="415" spans="1:3">
      <c r="A415" s="324">
        <v>140</v>
      </c>
      <c r="B415" s="325"/>
      <c r="C415" s="326"/>
    </row>
    <row r="416" spans="1:3">
      <c r="A416" s="324">
        <v>141</v>
      </c>
      <c r="B416" s="325" t="s">
        <v>324</v>
      </c>
      <c r="C416" s="326" t="str">
        <f>VLOOKUP(A416,Options!$A$4:$I$273,3+$A$1)</f>
        <v>Deutlich von allen Standorten</v>
      </c>
    </row>
    <row r="417" spans="1:3">
      <c r="A417" s="324">
        <v>142</v>
      </c>
      <c r="B417" s="325" t="s">
        <v>325</v>
      </c>
      <c r="C417" s="326" t="str">
        <f>VLOOKUP(A417,Options!$A$4:$I$273,3+$A$1)</f>
        <v>Deutlich von den meisten Standorten</v>
      </c>
    </row>
    <row r="418" spans="1:3">
      <c r="A418" s="324">
        <v>143</v>
      </c>
      <c r="B418" s="325" t="s">
        <v>326</v>
      </c>
      <c r="C418" s="326" t="str">
        <f>VLOOKUP(A418,Options!$A$4:$I$273,3+$A$1)</f>
        <v>Deutlich von wenigen Standorten</v>
      </c>
    </row>
    <row r="419" spans="1:3">
      <c r="A419" s="324">
        <v>144</v>
      </c>
      <c r="B419" s="325" t="s">
        <v>327</v>
      </c>
      <c r="C419" s="326" t="str">
        <f>VLOOKUP(A419,Options!$A$4:$I$273,3+$A$1)</f>
        <v>Keine Kennzeichnung von Fluchtwegen</v>
      </c>
    </row>
    <row r="420" spans="1:3">
      <c r="A420" s="324">
        <v>145</v>
      </c>
      <c r="B420" s="325"/>
      <c r="C420" s="326"/>
    </row>
    <row r="421" spans="1:3">
      <c r="A421" s="324">
        <v>146</v>
      </c>
      <c r="B421" s="325" t="s">
        <v>149</v>
      </c>
      <c r="C421" s="326" t="str">
        <f>VLOOKUP(A421,Options!$A$4:$I$273,3+$A$1)</f>
        <v>Gut</v>
      </c>
    </row>
    <row r="422" spans="1:3">
      <c r="A422" s="324">
        <v>147</v>
      </c>
      <c r="B422" s="325" t="s">
        <v>319</v>
      </c>
      <c r="C422" s="326" t="str">
        <f>VLOOKUP(A422,Options!$A$4:$I$273,3+$A$1)</f>
        <v>Befriedigend</v>
      </c>
    </row>
    <row r="423" spans="1:3">
      <c r="A423" s="324">
        <v>148</v>
      </c>
      <c r="B423" s="325" t="s">
        <v>320</v>
      </c>
      <c r="C423" s="326" t="str">
        <f>VLOOKUP(A423,Options!$A$4:$I$273,3+$A$1)</f>
        <v>Schlecht</v>
      </c>
    </row>
    <row r="424" spans="1:3">
      <c r="A424" s="324">
        <v>149</v>
      </c>
      <c r="B424" s="325" t="s">
        <v>328</v>
      </c>
      <c r="C424" s="326" t="str">
        <f>VLOOKUP(A424,Options!$A$4:$I$273,3+$A$1)</f>
        <v>Keine</v>
      </c>
    </row>
    <row r="425" spans="1:3">
      <c r="A425" s="324">
        <v>150</v>
      </c>
      <c r="B425" s="325" t="s">
        <v>329</v>
      </c>
      <c r="C425" s="326" t="str">
        <f>VLOOKUP(A425,Options!$A$4:$I$273,3+$A$1)</f>
        <v>1-geschossiges Parkhaus</v>
      </c>
    </row>
    <row r="426" spans="1:3">
      <c r="A426" s="324">
        <v>151</v>
      </c>
      <c r="B426" s="325"/>
      <c r="C426" s="326"/>
    </row>
    <row r="427" spans="1:3">
      <c r="A427" s="324">
        <v>152</v>
      </c>
      <c r="B427" s="325" t="s">
        <v>149</v>
      </c>
      <c r="C427" s="326" t="str">
        <f>VLOOKUP(A427,Options!$A$4:$I$273,3+$A$1)</f>
        <v>Gut</v>
      </c>
    </row>
    <row r="428" spans="1:3">
      <c r="A428" s="324">
        <v>153</v>
      </c>
      <c r="B428" s="325" t="s">
        <v>330</v>
      </c>
      <c r="C428" s="326" t="str">
        <f>VLOOKUP(A428,Options!$A$4:$I$273,3+$A$1)</f>
        <v>Einige</v>
      </c>
    </row>
    <row r="429" spans="1:3">
      <c r="A429" s="324">
        <v>154</v>
      </c>
      <c r="B429" s="325" t="s">
        <v>328</v>
      </c>
      <c r="C429" s="326" t="str">
        <f>VLOOKUP(A429,Options!$A$4:$I$273,3+$A$1)</f>
        <v>Keine</v>
      </c>
    </row>
    <row r="430" spans="1:3">
      <c r="A430" s="324">
        <v>155</v>
      </c>
      <c r="B430" s="328"/>
      <c r="C430" s="326"/>
    </row>
    <row r="431" spans="1:3">
      <c r="A431" s="324">
        <v>156</v>
      </c>
      <c r="B431" s="325" t="s">
        <v>333</v>
      </c>
      <c r="C431" s="326" t="str">
        <f>VLOOKUP(A431,Options!$A$4:$I$273,3+$A$1)</f>
        <v>Nummeriert einschießlich Geschoßidentifizierung</v>
      </c>
    </row>
    <row r="432" spans="1:3">
      <c r="A432" s="324">
        <v>157</v>
      </c>
      <c r="B432" s="325" t="s">
        <v>334</v>
      </c>
      <c r="C432" s="326" t="str">
        <f>VLOOKUP(A432,Options!$A$4:$I$273,3+$A$1)</f>
        <v>Nur nummeriert</v>
      </c>
    </row>
    <row r="433" spans="1:3">
      <c r="A433" s="324">
        <v>158</v>
      </c>
      <c r="B433" s="325" t="s">
        <v>328</v>
      </c>
      <c r="C433" s="326" t="str">
        <f>VLOOKUP(A433,Options!$A$4:$I$273,3+$A$1)</f>
        <v>Keine</v>
      </c>
    </row>
    <row r="434" spans="1:3">
      <c r="A434" s="324">
        <v>159</v>
      </c>
      <c r="B434" s="325"/>
      <c r="C434" s="326"/>
    </row>
    <row r="435" spans="1:3">
      <c r="A435" s="324">
        <v>160</v>
      </c>
      <c r="B435" s="325" t="s">
        <v>357</v>
      </c>
      <c r="C435" s="326" t="str">
        <f>VLOOKUP(A435,Options!$A$4:$I$273,3+$A$1)</f>
        <v>null</v>
      </c>
    </row>
    <row r="436" spans="1:3">
      <c r="A436" s="324">
        <v>161</v>
      </c>
      <c r="B436" s="325" t="s">
        <v>356</v>
      </c>
      <c r="C436" s="326" t="str">
        <f>VLOOKUP(A436,Options!$A$4:$I$273,3+$A$1)</f>
        <v>ein</v>
      </c>
    </row>
    <row r="437" spans="1:3">
      <c r="A437" s="324">
        <v>162</v>
      </c>
      <c r="B437" s="325" t="s">
        <v>358</v>
      </c>
      <c r="C437" s="326" t="str">
        <f>VLOOKUP(A437,Options!$A$4:$I$273,3+$A$1)</f>
        <v>zewi</v>
      </c>
    </row>
    <row r="438" spans="1:3">
      <c r="A438" s="324">
        <v>163</v>
      </c>
      <c r="B438" s="325" t="s">
        <v>359</v>
      </c>
      <c r="C438" s="326" t="str">
        <f>VLOOKUP(A438,Options!$A$4:$I$273,3+$A$1)</f>
        <v>drei oder mehr</v>
      </c>
    </row>
    <row r="439" spans="1:3">
      <c r="A439" s="324">
        <v>164</v>
      </c>
      <c r="B439" s="325"/>
      <c r="C439" s="326"/>
    </row>
    <row r="440" spans="1:3">
      <c r="A440" s="324">
        <v>165</v>
      </c>
      <c r="B440" s="325" t="s">
        <v>362</v>
      </c>
      <c r="C440" s="326" t="str">
        <f>VLOOKUP(A440,Options!$A$4:$I$273,3+$A$1)</f>
        <v>Ein Bezahlstation</v>
      </c>
    </row>
    <row r="441" spans="1:3">
      <c r="A441" s="324">
        <v>166</v>
      </c>
      <c r="B441" s="325" t="s">
        <v>363</v>
      </c>
      <c r="C441" s="326" t="str">
        <f>VLOOKUP(A441,Options!$A$4:$I$273,3+$A$1)</f>
        <v>Mehr als eine</v>
      </c>
    </row>
    <row r="442" spans="1:3">
      <c r="A442" s="324">
        <v>167</v>
      </c>
      <c r="B442" s="325" t="s">
        <v>364</v>
      </c>
      <c r="C442" s="326" t="str">
        <f>VLOOKUP(A442,Options!$A$4:$I$273,3+$A$1)</f>
        <v>Eine an jedem Fußgängerzugang (außer reine Fluchtwege)</v>
      </c>
    </row>
    <row r="443" spans="1:3">
      <c r="A443" s="324">
        <v>168</v>
      </c>
      <c r="B443" s="325" t="s">
        <v>539</v>
      </c>
      <c r="C443" s="326" t="str">
        <f>VLOOKUP(A443,Options!$A$4:$I$273,3+$A$1)</f>
        <v>Eine an jedem Fußgängerzugang</v>
      </c>
    </row>
    <row r="444" spans="1:3">
      <c r="A444" s="324">
        <v>169</v>
      </c>
      <c r="B444" s="328"/>
      <c r="C444" s="326"/>
    </row>
    <row r="445" spans="1:3">
      <c r="A445" s="324">
        <v>170</v>
      </c>
      <c r="B445" s="325" t="s">
        <v>366</v>
      </c>
      <c r="C445" s="326" t="str">
        <f>VLOOKUP(A445,Options!$A$4:$I$273,3+$A$1)</f>
        <v>Eine</v>
      </c>
    </row>
    <row r="446" spans="1:3">
      <c r="A446" s="324">
        <v>171</v>
      </c>
      <c r="B446" s="325" t="s">
        <v>367</v>
      </c>
      <c r="C446" s="326" t="str">
        <f>VLOOKUP(A446,Options!$A$4:$I$273,3+$A$1)</f>
        <v>&lt; 1 pro 50 Stellplätze</v>
      </c>
    </row>
    <row r="447" spans="1:3">
      <c r="A447" s="324">
        <v>172</v>
      </c>
      <c r="B447" s="325" t="s">
        <v>368</v>
      </c>
      <c r="C447" s="326" t="str">
        <f>VLOOKUP(A447,Options!$A$4:$I$273,3+$A$1)</f>
        <v>&gt; 1 pro 50 Stellplätze</v>
      </c>
    </row>
    <row r="448" spans="1:3">
      <c r="A448" s="324">
        <v>173</v>
      </c>
      <c r="B448" s="328"/>
      <c r="C448" s="326"/>
    </row>
    <row r="449" spans="1:3">
      <c r="A449" s="324">
        <v>174</v>
      </c>
      <c r="B449" s="325" t="s">
        <v>373</v>
      </c>
      <c r="C449" s="326" t="str">
        <f>VLOOKUP(A449,Options!$A$4:$I$273,3+$A$1)</f>
        <v>unisex</v>
      </c>
    </row>
    <row r="450" spans="1:3">
      <c r="A450" s="324">
        <v>175</v>
      </c>
      <c r="B450" s="325" t="s">
        <v>374</v>
      </c>
      <c r="C450" s="326" t="str">
        <f>VLOOKUP(A450,Options!$A$4:$I$273,3+$A$1)</f>
        <v>Männer/Frauen getrennt</v>
      </c>
    </row>
    <row r="451" spans="1:3">
      <c r="A451" s="324">
        <v>176</v>
      </c>
      <c r="B451" s="325"/>
      <c r="C451" s="326"/>
    </row>
    <row r="452" spans="1:3">
      <c r="A452" s="324">
        <v>177</v>
      </c>
      <c r="B452" s="325" t="s">
        <v>379</v>
      </c>
      <c r="C452" s="326" t="str">
        <f>VLOOKUP(A452,Options!$A$4:$I$273,3+$A$1)</f>
        <v>Farbige Stützen</v>
      </c>
    </row>
    <row r="453" spans="1:3">
      <c r="A453" s="324">
        <v>178</v>
      </c>
      <c r="B453" s="325" t="s">
        <v>381</v>
      </c>
      <c r="C453" s="326" t="str">
        <f>VLOOKUP(A453,Options!$A$4:$I$273,3+$A$1)</f>
        <v>Nein/Betongrau</v>
      </c>
    </row>
    <row r="454" spans="1:3">
      <c r="A454" s="324">
        <v>179</v>
      </c>
      <c r="B454" s="328"/>
      <c r="C454" s="326"/>
    </row>
    <row r="455" spans="1:3">
      <c r="A455" s="324">
        <v>180</v>
      </c>
      <c r="B455" s="325" t="s">
        <v>380</v>
      </c>
      <c r="C455" s="326" t="str">
        <f>VLOOKUP(A455,Options!$A$4:$I$273,3+$A$1)</f>
        <v>Farbige Wände</v>
      </c>
    </row>
    <row r="456" spans="1:3">
      <c r="A456" s="324">
        <v>181</v>
      </c>
      <c r="B456" s="325" t="s">
        <v>381</v>
      </c>
      <c r="C456" s="326" t="str">
        <f>VLOOKUP(A456,Options!$A$4:$I$273,3+$A$1)</f>
        <v>Nein/Betongrau</v>
      </c>
    </row>
    <row r="457" spans="1:3">
      <c r="A457" s="324">
        <v>182</v>
      </c>
      <c r="B457" s="328"/>
      <c r="C457" s="326"/>
    </row>
    <row r="458" spans="1:3">
      <c r="A458" s="324">
        <v>183</v>
      </c>
      <c r="B458" s="325" t="s">
        <v>395</v>
      </c>
      <c r="C458" s="326" t="str">
        <f>VLOOKUP(A458,Options!$A$4:$I$273,3+$A$1)</f>
        <v>Mehr als eine Aufladestation</v>
      </c>
    </row>
    <row r="459" spans="1:3">
      <c r="A459" s="324">
        <v>184</v>
      </c>
      <c r="B459" s="325" t="s">
        <v>396</v>
      </c>
      <c r="C459" s="326" t="str">
        <f>VLOOKUP(A459,Options!$A$4:$I$273,3+$A$1)</f>
        <v>eine Aufladestation</v>
      </c>
    </row>
    <row r="460" spans="1:3">
      <c r="A460" s="324">
        <v>185</v>
      </c>
      <c r="B460" s="325" t="s">
        <v>328</v>
      </c>
      <c r="C460" s="326" t="str">
        <f>VLOOKUP(A460,Options!$A$4:$I$273,3+$A$1)</f>
        <v>keine</v>
      </c>
    </row>
    <row r="461" spans="1:3">
      <c r="A461" s="324">
        <v>186</v>
      </c>
      <c r="B461" s="325"/>
      <c r="C461" s="326"/>
    </row>
    <row r="462" spans="1:3">
      <c r="A462" s="324">
        <v>187</v>
      </c>
      <c r="B462" s="325" t="s">
        <v>265</v>
      </c>
      <c r="C462" s="326" t="str">
        <f>VLOOKUP(A462,Options!$A$4:$I$273,3+$A$1)</f>
        <v>Zu/von allen Geschossen</v>
      </c>
    </row>
    <row r="463" spans="1:3">
      <c r="A463" s="324">
        <v>188</v>
      </c>
      <c r="B463" s="325" t="s">
        <v>266</v>
      </c>
      <c r="C463" s="326" t="str">
        <f>VLOOKUP(A463,Options!$A$4:$I$273,3+$A$1)</f>
        <v>Zu/von einigen Geschossen</v>
      </c>
    </row>
    <row r="464" spans="1:3">
      <c r="A464" s="324">
        <v>189</v>
      </c>
      <c r="B464" s="325" t="s">
        <v>267</v>
      </c>
      <c r="C464" s="326" t="str">
        <f>VLOOKUP(A464,Options!$A$4:$I$273,3+$A$1)</f>
        <v>Keine Rolltreppen oder Rollsteige</v>
      </c>
    </row>
    <row r="465" spans="1:3">
      <c r="A465" s="324">
        <v>190</v>
      </c>
      <c r="B465" s="328"/>
      <c r="C465" s="326"/>
    </row>
    <row r="466" spans="1:3">
      <c r="A466" s="324">
        <v>191</v>
      </c>
      <c r="B466" s="325" t="s">
        <v>167</v>
      </c>
      <c r="C466" s="326" t="str">
        <f>VLOOKUP(A466,Options!$A$4:$I$273,3+$A$1)</f>
        <v xml:space="preserve"> &lt;10%</v>
      </c>
    </row>
    <row r="467" spans="1:3">
      <c r="A467" s="324">
        <v>192</v>
      </c>
      <c r="B467" s="325" t="s">
        <v>168</v>
      </c>
      <c r="C467" s="326" t="str">
        <f>VLOOKUP(A467,Options!$A$4:$I$273,3+$A$1)</f>
        <v xml:space="preserve"> 10-15%</v>
      </c>
    </row>
    <row r="468" spans="1:3">
      <c r="A468" s="324">
        <v>193</v>
      </c>
      <c r="B468" s="325" t="s">
        <v>169</v>
      </c>
      <c r="C468" s="326" t="str">
        <f>VLOOKUP(A468,Options!$A$4:$I$273,3+$A$1)</f>
        <v>&gt;15%</v>
      </c>
    </row>
    <row r="469" spans="1:3">
      <c r="A469" s="324">
        <v>194</v>
      </c>
      <c r="B469" s="325" t="s">
        <v>170</v>
      </c>
      <c r="C469" s="326" t="str">
        <f>VLOOKUP(A469,Options!$A$4:$I$273,3+$A$1)</f>
        <v>Keine Rampen</v>
      </c>
    </row>
    <row r="470" spans="1:3">
      <c r="A470" s="324">
        <v>195</v>
      </c>
      <c r="B470" s="327"/>
      <c r="C470" s="326"/>
    </row>
    <row r="471" spans="1:3">
      <c r="A471" s="324">
        <v>196</v>
      </c>
      <c r="B471" s="325" t="s">
        <v>173</v>
      </c>
      <c r="C471" s="326" t="str">
        <f>VLOOKUP(A471,Options!$A$4:$I$273,3+$A$1)</f>
        <v>&lt; 3m</v>
      </c>
    </row>
    <row r="472" spans="1:3">
      <c r="A472" s="324">
        <v>197</v>
      </c>
      <c r="B472" s="325" t="s">
        <v>174</v>
      </c>
      <c r="C472" s="326" t="str">
        <f>VLOOKUP(A472,Options!$A$4:$I$273,3+$A$1)</f>
        <v>3m - 3.3m</v>
      </c>
    </row>
    <row r="473" spans="1:3">
      <c r="A473" s="324">
        <v>198</v>
      </c>
      <c r="B473" s="325" t="s">
        <v>175</v>
      </c>
      <c r="C473" s="326" t="str">
        <f>VLOOKUP(A473,Options!$A$4:$I$273,3+$A$1)</f>
        <v>&gt;3.3m</v>
      </c>
    </row>
    <row r="474" spans="1:3">
      <c r="A474" s="324">
        <v>199</v>
      </c>
      <c r="B474" s="325" t="s">
        <v>170</v>
      </c>
      <c r="C474" s="326" t="str">
        <f>VLOOKUP(A474,Options!$A$4:$I$273,3+$A$1)</f>
        <v>Keine Rampen</v>
      </c>
    </row>
    <row r="475" spans="1:3">
      <c r="A475" s="324">
        <v>200</v>
      </c>
      <c r="B475" s="328"/>
      <c r="C475" s="326"/>
    </row>
    <row r="476" spans="1:3">
      <c r="A476" s="324">
        <v>201</v>
      </c>
      <c r="B476" s="325" t="s">
        <v>526</v>
      </c>
      <c r="C476" s="326" t="str">
        <f>VLOOKUP(A476,Options!$A$4:$I$273,3+$A$1)</f>
        <v>&lt; 4m</v>
      </c>
    </row>
    <row r="477" spans="1:3">
      <c r="A477" s="324">
        <v>202</v>
      </c>
      <c r="B477" s="325" t="s">
        <v>527</v>
      </c>
      <c r="C477" s="326" t="str">
        <f>VLOOKUP(A477,Options!$A$4:$I$273,3+$A$1)</f>
        <v>4m - 4.3m</v>
      </c>
    </row>
    <row r="478" spans="1:3">
      <c r="A478" s="324">
        <v>203</v>
      </c>
      <c r="B478" s="325" t="s">
        <v>528</v>
      </c>
      <c r="C478" s="326" t="str">
        <f>VLOOKUP(A478,Options!$A$4:$I$273,3+$A$1)</f>
        <v>&gt;4.3m</v>
      </c>
    </row>
    <row r="479" spans="1:3">
      <c r="A479" s="324">
        <v>204</v>
      </c>
      <c r="B479" s="325" t="s">
        <v>170</v>
      </c>
      <c r="C479" s="326" t="str">
        <f>VLOOKUP(A479,Options!$A$4:$I$273,3+$A$1)</f>
        <v>Keine Rampen</v>
      </c>
    </row>
    <row r="480" spans="1:3">
      <c r="A480" s="324">
        <v>205</v>
      </c>
      <c r="B480" s="327"/>
      <c r="C480" s="326"/>
    </row>
    <row r="481" spans="1:3">
      <c r="A481" s="324">
        <v>206</v>
      </c>
      <c r="B481" s="325" t="s">
        <v>529</v>
      </c>
      <c r="C481" s="326" t="str">
        <f>VLOOKUP(A481,Options!$A$4:$I$273,3+$A$1)</f>
        <v>&lt; 9m</v>
      </c>
    </row>
    <row r="482" spans="1:3">
      <c r="A482" s="324">
        <v>207</v>
      </c>
      <c r="B482" s="325" t="s">
        <v>530</v>
      </c>
      <c r="C482" s="326" t="str">
        <f>VLOOKUP(A482,Options!$A$4:$I$273,3+$A$1)</f>
        <v>9m – 10m</v>
      </c>
    </row>
    <row r="483" spans="1:3">
      <c r="A483" s="324">
        <v>208</v>
      </c>
      <c r="B483" s="325" t="s">
        <v>531</v>
      </c>
      <c r="C483" s="326" t="str">
        <f>VLOOKUP(A483,Options!$A$4:$I$273,3+$A$1)</f>
        <v>&gt;10m</v>
      </c>
    </row>
    <row r="484" spans="1:3">
      <c r="A484" s="324">
        <v>209</v>
      </c>
      <c r="B484" s="325" t="s">
        <v>170</v>
      </c>
      <c r="C484" s="326" t="str">
        <f>VLOOKUP(A484,Options!$A$4:$I$273,3+$A$1)</f>
        <v>Keine Rampen</v>
      </c>
    </row>
    <row r="485" spans="1:3">
      <c r="A485" s="324">
        <v>210</v>
      </c>
      <c r="B485" s="325"/>
      <c r="C485" s="326"/>
    </row>
    <row r="486" spans="1:3">
      <c r="A486" s="324">
        <v>211</v>
      </c>
      <c r="B486" s="325" t="s">
        <v>176</v>
      </c>
      <c r="C486" s="326" t="str">
        <f>VLOOKUP(A486,Options!$A$4:$I$273,3+$A$1)</f>
        <v xml:space="preserve"> &lt;7.5m</v>
      </c>
    </row>
    <row r="487" spans="1:3">
      <c r="A487" s="324">
        <v>212</v>
      </c>
      <c r="B487" s="325" t="s">
        <v>532</v>
      </c>
      <c r="C487" s="326" t="str">
        <f>VLOOKUP(A487,Options!$A$4:$I$273,3+$A$1)</f>
        <v>7.5m – 9m</v>
      </c>
    </row>
    <row r="488" spans="1:3">
      <c r="A488" s="324">
        <v>213</v>
      </c>
      <c r="B488" s="325" t="s">
        <v>533</v>
      </c>
      <c r="C488" s="326" t="str">
        <f>VLOOKUP(A488,Options!$A$4:$I$273,3+$A$1)</f>
        <v>&gt;9m</v>
      </c>
    </row>
    <row r="489" spans="1:3">
      <c r="A489" s="324">
        <v>214</v>
      </c>
      <c r="B489" s="325" t="s">
        <v>170</v>
      </c>
      <c r="C489" s="326" t="str">
        <f>VLOOKUP(A489,Options!$A$4:$I$273,3+$A$1)</f>
        <v>Keine Rampen</v>
      </c>
    </row>
    <row r="490" spans="1:3">
      <c r="A490" s="324">
        <v>215</v>
      </c>
      <c r="B490" s="325"/>
      <c r="C490" s="326"/>
    </row>
    <row r="491" spans="1:3">
      <c r="A491" s="324">
        <v>216</v>
      </c>
      <c r="B491" s="325" t="s">
        <v>534</v>
      </c>
      <c r="C491" s="326" t="str">
        <f>VLOOKUP(A491,Options!$A$4:$I$273,3+$A$1)</f>
        <v>&lt;5%</v>
      </c>
    </row>
    <row r="492" spans="1:3">
      <c r="A492" s="324">
        <v>217</v>
      </c>
      <c r="B492" s="325" t="s">
        <v>177</v>
      </c>
      <c r="C492" s="326" t="str">
        <f>VLOOKUP(A492,Options!$A$4:$I$273,3+$A$1)</f>
        <v>5% -7%</v>
      </c>
    </row>
    <row r="493" spans="1:3">
      <c r="A493" s="324">
        <v>218</v>
      </c>
      <c r="B493" s="325" t="s">
        <v>535</v>
      </c>
      <c r="C493" s="326" t="str">
        <f>VLOOKUP(A493,Options!$A$4:$I$273,3+$A$1)</f>
        <v>&gt;7%</v>
      </c>
    </row>
    <row r="494" spans="1:3">
      <c r="A494" s="324">
        <v>219</v>
      </c>
      <c r="B494" s="325" t="s">
        <v>536</v>
      </c>
      <c r="C494" s="326" t="str">
        <f>VLOOKUP(A494,Options!$A$4:$I$273,3+$A$1)</f>
        <v>Kein Gefälle</v>
      </c>
    </row>
    <row r="495" spans="1:3">
      <c r="A495" s="324">
        <v>220</v>
      </c>
      <c r="B495" s="325"/>
      <c r="C495" s="326"/>
    </row>
    <row r="496" spans="1:3">
      <c r="A496" s="324">
        <v>221</v>
      </c>
      <c r="B496" s="325" t="s">
        <v>1775</v>
      </c>
      <c r="C496" s="326" t="str">
        <f>VLOOKUP(A496,Options!$A$4:$I$273,3+$A$1)</f>
        <v>Offenes Parkhaus mit Tageslicht</v>
      </c>
    </row>
    <row r="497" spans="1:3">
      <c r="A497" s="324">
        <v>222</v>
      </c>
      <c r="B497" s="325" t="s">
        <v>1776</v>
      </c>
      <c r="C497" s="326" t="str">
        <f>VLOOKUP(A497,Options!$A$4:$I$273,3+$A$1)</f>
        <v>Geschlossenes Parkhaus ohne Tageslicht</v>
      </c>
    </row>
    <row r="498" spans="1:3">
      <c r="A498" s="324">
        <v>223</v>
      </c>
      <c r="B498" s="325" t="s">
        <v>1777</v>
      </c>
      <c r="C498" s="326" t="str">
        <f>VLOOKUP(A498,Options!$A$4:$I$273,3+$A$1)</f>
        <v>unterirdisch</v>
      </c>
    </row>
    <row r="499" spans="1:3">
      <c r="A499" s="324">
        <v>224</v>
      </c>
      <c r="B499" s="325"/>
      <c r="C499" s="326"/>
    </row>
    <row r="500" spans="1:3">
      <c r="A500" s="324">
        <v>225</v>
      </c>
      <c r="B500" s="325" t="s">
        <v>1779</v>
      </c>
      <c r="C500" s="326" t="str">
        <f>VLOOKUP(A500,Options!$A$4:$I$273,3+$A$1)</f>
        <v>split level</v>
      </c>
    </row>
    <row r="501" spans="1:3">
      <c r="A501" s="324">
        <v>226</v>
      </c>
      <c r="B501" s="325" t="s">
        <v>1781</v>
      </c>
      <c r="C501" s="326" t="str">
        <f>VLOOKUP(A501,Options!$A$4:$I$273,3+$A$1)</f>
        <v>Ebenen mit gewendelten oder geraden Rampen</v>
      </c>
    </row>
    <row r="502" spans="1:3">
      <c r="A502" s="324">
        <v>227</v>
      </c>
      <c r="B502" s="325" t="s">
        <v>1780</v>
      </c>
      <c r="C502" s="326" t="str">
        <f>VLOOKUP(A502,Options!$A$4:$I$273,3+$A$1)</f>
        <v>Ebenen mit Gefälle (Parkrampe)</v>
      </c>
    </row>
    <row r="503" spans="1:3">
      <c r="A503" s="324">
        <v>228</v>
      </c>
      <c r="B503" s="325" t="s">
        <v>1782</v>
      </c>
      <c r="C503" s="326" t="str">
        <f>VLOOKUP(A503,Options!$A$4:$I$273,3+$A$1)</f>
        <v>andere</v>
      </c>
    </row>
    <row r="504" spans="1:3">
      <c r="A504" s="324">
        <v>229</v>
      </c>
      <c r="B504" s="325"/>
      <c r="C504" s="326"/>
    </row>
    <row r="505" spans="1:3">
      <c r="A505" s="324">
        <v>230</v>
      </c>
      <c r="B505" s="325" t="s">
        <v>1783</v>
      </c>
      <c r="C505" s="326" t="str">
        <f>VLOOKUP(A505,Options!$A$4:$I$273,3+$A$1)</f>
        <v>Parkhaus mit Schranke / Tor</v>
      </c>
    </row>
    <row r="506" spans="1:3">
      <c r="A506" s="324">
        <v>231</v>
      </c>
      <c r="B506" s="325" t="s">
        <v>1784</v>
      </c>
      <c r="C506" s="326" t="str">
        <f>VLOOKUP(A506,Options!$A$4:$I$273,3+$A$1)</f>
        <v>Parkhaus mit Parkscheinautomaten</v>
      </c>
    </row>
    <row r="507" spans="1:3">
      <c r="A507" s="329">
        <v>232</v>
      </c>
      <c r="B507" s="330" t="s">
        <v>1782</v>
      </c>
      <c r="C507" s="331" t="str">
        <f>VLOOKUP(A507,Options!$A$4:$I$273,3+$A$1)</f>
        <v>andere</v>
      </c>
    </row>
    <row r="508" spans="1:3">
      <c r="B508" s="92"/>
    </row>
    <row r="509" spans="1:3" ht="21">
      <c r="A509" s="195" t="s">
        <v>2722</v>
      </c>
      <c r="B509" s="352"/>
      <c r="C509" s="196"/>
    </row>
    <row r="510" spans="1:3" ht="15.75">
      <c r="A510" s="311">
        <v>1</v>
      </c>
      <c r="B510" s="312" t="s">
        <v>445</v>
      </c>
      <c r="C510" s="313" t="str">
        <f>VLOOKUP(A510,Tags!$A$4:$I$273,3+$A$1)</f>
        <v>Datum</v>
      </c>
    </row>
    <row r="511" spans="1:3" ht="15.75">
      <c r="A511" s="314">
        <v>2</v>
      </c>
      <c r="B511" s="315" t="s">
        <v>442</v>
      </c>
      <c r="C511" s="316" t="str">
        <f>VLOOKUP(A511,Tags!$A$4:$I$273,3+$A$1)</f>
        <v>Sprache</v>
      </c>
    </row>
    <row r="512" spans="1:3" ht="15.75">
      <c r="A512" s="314">
        <v>3</v>
      </c>
      <c r="B512" s="315" t="s">
        <v>440</v>
      </c>
      <c r="C512" s="316" t="str">
        <f>VLOOKUP(A512,Tags!$A$4:$I$273,3+$A$1)</f>
        <v>Land</v>
      </c>
    </row>
    <row r="513" spans="1:3" ht="15.75">
      <c r="A513" s="314">
        <v>4</v>
      </c>
      <c r="B513" s="315" t="s">
        <v>441</v>
      </c>
      <c r="C513" s="316" t="str">
        <f>VLOOKUP(A513,Tags!$A$4:$I$273,3+$A$1)</f>
        <v>Name des Parkhauses</v>
      </c>
    </row>
    <row r="514" spans="1:3" ht="15.75">
      <c r="A514" s="314">
        <v>5</v>
      </c>
      <c r="B514" s="315" t="s">
        <v>444</v>
      </c>
      <c r="C514" s="316" t="str">
        <f>VLOOKUP(A514,Tags!$A$4:$I$273,3+$A$1)</f>
        <v>Adresse</v>
      </c>
    </row>
    <row r="515" spans="1:3" ht="15.75">
      <c r="A515" s="314">
        <v>6</v>
      </c>
      <c r="B515" s="315" t="s">
        <v>0</v>
      </c>
      <c r="C515" s="316" t="str">
        <f>VLOOKUP(A515,Tags!$A$4:$I$273,3+$A$1)</f>
        <v>Stadt</v>
      </c>
    </row>
    <row r="516" spans="1:3" ht="15.75">
      <c r="A516" s="314">
        <v>7</v>
      </c>
      <c r="B516" s="315" t="s">
        <v>446</v>
      </c>
      <c r="C516" s="316" t="str">
        <f>VLOOKUP(A516,Tags!$A$4:$I$273,3+$A$1)</f>
        <v>Anzahl der Stellplätze</v>
      </c>
    </row>
    <row r="517" spans="1:3" ht="15.75">
      <c r="A517" s="314">
        <v>8</v>
      </c>
      <c r="B517" s="315" t="s">
        <v>447</v>
      </c>
      <c r="C517" s="316" t="str">
        <f>VLOOKUP(A517,Tags!$A$4:$I$273,3+$A$1)</f>
        <v>Betreiber</v>
      </c>
    </row>
    <row r="518" spans="1:3" ht="15.75">
      <c r="A518" s="314">
        <v>9</v>
      </c>
      <c r="B518" s="315" t="s">
        <v>448</v>
      </c>
      <c r="C518" s="316" t="str">
        <f>VLOOKUP(A518,Tags!$A$4:$I$273,3+$A$1)</f>
        <v>Kontaktperson</v>
      </c>
    </row>
    <row r="519" spans="1:3" ht="15.75">
      <c r="A519" s="314">
        <v>10</v>
      </c>
      <c r="B519" s="315" t="s">
        <v>449</v>
      </c>
      <c r="C519" s="316" t="str">
        <f>VLOOKUP(A519,Tags!$A$4:$I$273,3+$A$1)</f>
        <v>e-Mail</v>
      </c>
    </row>
    <row r="520" spans="1:3" ht="15.75">
      <c r="A520" s="314">
        <v>11</v>
      </c>
      <c r="B520" s="315" t="s">
        <v>450</v>
      </c>
      <c r="C520" s="316" t="str">
        <f>VLOOKUP(A520,Tags!$A$4:$I$273,3+$A$1)</f>
        <v>Telefon</v>
      </c>
    </row>
    <row r="521" spans="1:3" ht="15.75">
      <c r="A521" s="314">
        <v>12</v>
      </c>
      <c r="B521" s="315" t="s">
        <v>451</v>
      </c>
      <c r="C521" s="316" t="str">
        <f>VLOOKUP(A521,Tags!$A$4:$I$273,3+$A$1)</f>
        <v>Geprüft von</v>
      </c>
    </row>
    <row r="522" spans="1:3" ht="15.75">
      <c r="A522" s="314">
        <v>13</v>
      </c>
      <c r="B522" s="315" t="s">
        <v>452</v>
      </c>
      <c r="C522" s="316" t="str">
        <f>VLOOKUP(A522,Tags!$A$4:$I$273,3+$A$1)</f>
        <v>Prüfbedingungen</v>
      </c>
    </row>
    <row r="523" spans="1:3" ht="15.75">
      <c r="A523" s="314">
        <v>14</v>
      </c>
      <c r="B523" s="315" t="s">
        <v>453</v>
      </c>
      <c r="C523" s="316" t="str">
        <f>VLOOKUP(A523,Tags!$A$4:$I$273,3+$A$1)</f>
        <v>Tageszeit</v>
      </c>
    </row>
    <row r="524" spans="1:3" ht="15.75">
      <c r="A524" s="314">
        <v>15</v>
      </c>
      <c r="B524" s="315" t="s">
        <v>454</v>
      </c>
      <c r="C524" s="316" t="str">
        <f>VLOOKUP(A524,Tags!$A$4:$I$273,3+$A$1)</f>
        <v>Wetterbedingungen</v>
      </c>
    </row>
    <row r="525" spans="1:3" ht="15.75">
      <c r="A525" s="314">
        <v>16</v>
      </c>
      <c r="B525" s="315" t="s">
        <v>455</v>
      </c>
      <c r="C525" s="316" t="str">
        <f>VLOOKUP(A525,Tags!$A$4:$I$273,3+$A$1)</f>
        <v>Auslastung</v>
      </c>
    </row>
    <row r="526" spans="1:3" ht="15.75">
      <c r="A526" s="314">
        <v>17</v>
      </c>
      <c r="B526" s="315" t="s">
        <v>469</v>
      </c>
      <c r="C526" s="316" t="str">
        <f>VLOOKUP(A526,Tags!$A$4:$I$273,3+$A$1)</f>
        <v>vollständig</v>
      </c>
    </row>
    <row r="527" spans="1:3" ht="15.75">
      <c r="A527" s="314">
        <v>18</v>
      </c>
      <c r="B527" s="315" t="s">
        <v>470</v>
      </c>
      <c r="C527" s="316" t="str">
        <f>VLOOKUP(A527,Tags!$A$4:$I$273,3+$A$1)</f>
        <v>unvollständig</v>
      </c>
    </row>
    <row r="528" spans="1:3" ht="15.75">
      <c r="A528" s="314">
        <v>19</v>
      </c>
      <c r="B528" s="315" t="s">
        <v>1</v>
      </c>
      <c r="C528" s="316" t="str">
        <f>VLOOKUP(A528,Tags!$A$4:$I$273,3+$A$1)</f>
        <v>übereinstimmend</v>
      </c>
    </row>
    <row r="529" spans="1:3" ht="15.75">
      <c r="A529" s="314">
        <v>20</v>
      </c>
      <c r="B529" s="315" t="s">
        <v>471</v>
      </c>
      <c r="C529" s="316" t="str">
        <f>VLOOKUP(A529,Tags!$A$4:$I$273,3+$A$1)</f>
        <v>Kommentare</v>
      </c>
    </row>
    <row r="530" spans="1:3" ht="15.75">
      <c r="A530" s="314">
        <v>21</v>
      </c>
      <c r="B530" s="315" t="s">
        <v>472</v>
      </c>
      <c r="C530" s="316" t="str">
        <f>VLOOKUP(A530,Tags!$A$4:$I$273,3+$A$1)</f>
        <v>Anzahl von Übereinstimmungen</v>
      </c>
    </row>
    <row r="531" spans="1:3" ht="15.75">
      <c r="A531" s="314">
        <v>22</v>
      </c>
      <c r="B531" s="315" t="s">
        <v>120</v>
      </c>
      <c r="C531" s="316" t="str">
        <f>VLOOKUP(A531,Tags!$A$4:$I$273,3+$A$1)</f>
        <v>Anzahl von Mängeln</v>
      </c>
    </row>
    <row r="532" spans="1:3" ht="15.75">
      <c r="A532" s="314">
        <v>23</v>
      </c>
      <c r="B532" s="315" t="s">
        <v>121</v>
      </c>
      <c r="C532" s="316" t="str">
        <f>VLOOKUP(A532,Tags!$A$4:$I$273,3+$A$1)</f>
        <v>nicht überprüft</v>
      </c>
    </row>
    <row r="533" spans="1:3" ht="15.75">
      <c r="A533" s="314">
        <v>24</v>
      </c>
      <c r="B533" s="315" t="s">
        <v>473</v>
      </c>
      <c r="C533" s="316" t="str">
        <f>VLOOKUP(A533,Tags!$A$4:$I$273,3+$A$1)</f>
        <v>bestanden</v>
      </c>
    </row>
    <row r="534" spans="1:3" ht="15.75">
      <c r="A534" s="314">
        <v>25</v>
      </c>
      <c r="B534" s="315" t="s">
        <v>116</v>
      </c>
      <c r="C534" s="316" t="str">
        <f>VLOOKUP(A534,Tags!$A$4:$I$273,3+$A$1)</f>
        <v>nicht bestanden</v>
      </c>
    </row>
    <row r="535" spans="1:3" ht="15.75">
      <c r="A535" s="314">
        <v>26</v>
      </c>
      <c r="B535" s="315" t="s">
        <v>521</v>
      </c>
      <c r="C535" s="316" t="str">
        <f>VLOOKUP(A535,Tags!$A$4:$I$273,3+$A$1)</f>
        <v>unvollständig</v>
      </c>
    </row>
    <row r="536" spans="1:3" ht="15.75">
      <c r="A536" s="314">
        <v>27</v>
      </c>
      <c r="B536" s="315" t="s">
        <v>127</v>
      </c>
      <c r="C536" s="316" t="str">
        <f>VLOOKUP(A536,Tags!$A$4:$I$273,3+$A$1)</f>
        <v>Summe der Positionen</v>
      </c>
    </row>
    <row r="537" spans="1:3" ht="15.75">
      <c r="A537" s="314">
        <v>28</v>
      </c>
      <c r="B537" s="315" t="s">
        <v>277</v>
      </c>
      <c r="C537" s="316" t="str">
        <f>VLOOKUP(A537,Tags!$A$4:$I$273,3+$A$1)</f>
        <v>Summe der Positionen und Unterpositionen</v>
      </c>
    </row>
    <row r="538" spans="1:3" ht="15.75">
      <c r="A538" s="314">
        <v>29</v>
      </c>
      <c r="B538" s="315" t="s">
        <v>125</v>
      </c>
      <c r="C538" s="316" t="str">
        <f>VLOOKUP(A538,Tags!$A$4:$I$273,3+$A$1)</f>
        <v>vollständige Positionen</v>
      </c>
    </row>
    <row r="539" spans="1:3" ht="15.75">
      <c r="A539" s="314">
        <v>30</v>
      </c>
      <c r="B539" s="315" t="s">
        <v>126</v>
      </c>
      <c r="C539" s="316" t="str">
        <f>VLOOKUP(A539,Tags!$A$4:$I$273,3+$A$1)</f>
        <v>nicht gemessen</v>
      </c>
    </row>
    <row r="540" spans="1:3" ht="15.75">
      <c r="A540" s="314">
        <v>31</v>
      </c>
      <c r="B540" s="315" t="s">
        <v>3</v>
      </c>
      <c r="C540" s="316" t="str">
        <f>VLOOKUP(A540,Tags!$A$4:$I$273,3+$A$1)</f>
        <v>Punktzahl</v>
      </c>
    </row>
    <row r="541" spans="1:3" ht="15.75">
      <c r="A541" s="314">
        <v>32</v>
      </c>
      <c r="B541" s="315" t="s">
        <v>270</v>
      </c>
      <c r="C541" s="316" t="str">
        <f>VLOOKUP(A541,Tags!$A$4:$I$273,3+$A$1)</f>
        <v>Maximale Punktzahl</v>
      </c>
    </row>
    <row r="542" spans="1:3" ht="15.75">
      <c r="A542" s="314">
        <v>33</v>
      </c>
      <c r="B542" s="315" t="s">
        <v>481</v>
      </c>
      <c r="C542" s="316" t="str">
        <f>VLOOKUP(A542,Tags!$A$4:$I$273,3+$A$1)</f>
        <v>Prozentsatz</v>
      </c>
    </row>
    <row r="543" spans="1:3" ht="15.75">
      <c r="A543" s="314">
        <v>34</v>
      </c>
      <c r="B543" s="315" t="s">
        <v>479</v>
      </c>
      <c r="C543" s="316" t="str">
        <f>VLOOKUP(A543,Tags!$A$4:$I$273,3+$A$1)</f>
        <v>Wert der Kategorie</v>
      </c>
    </row>
    <row r="544" spans="1:3" ht="15.75">
      <c r="A544" s="314">
        <v>35</v>
      </c>
      <c r="B544" s="315" t="s">
        <v>123</v>
      </c>
      <c r="C544" s="316" t="str">
        <f>VLOOKUP(A544,Tags!$A$4:$I$273,3+$A$1)</f>
        <v>Gesamtbewertung</v>
      </c>
    </row>
    <row r="545" spans="1:3" ht="15.75">
      <c r="A545" s="314">
        <v>36</v>
      </c>
      <c r="B545" s="315" t="s">
        <v>124</v>
      </c>
      <c r="C545" s="316" t="str">
        <f>VLOOKUP(A545,Tags!$A$4:$I$273,3+$A$1)</f>
        <v>Kategorie</v>
      </c>
    </row>
    <row r="546" spans="1:3" ht="15.75">
      <c r="A546" s="314">
        <v>37</v>
      </c>
      <c r="B546" s="315" t="s">
        <v>430</v>
      </c>
      <c r="C546" s="316" t="str">
        <f>VLOOKUP(A546,Tags!$A$4:$I$273,3+$A$1)</f>
        <v>Anzahl der Positionen</v>
      </c>
    </row>
    <row r="547" spans="1:3" ht="15.75">
      <c r="A547" s="314">
        <v>38</v>
      </c>
      <c r="B547" s="315" t="s">
        <v>431</v>
      </c>
      <c r="C547" s="316" t="str">
        <f>VLOOKUP(A547,Tags!$A$4:$I$273,3+$A$1)</f>
        <v>Anzahl der Übereinstimmungen</v>
      </c>
    </row>
    <row r="548" spans="1:3" ht="15.75">
      <c r="A548" s="314">
        <v>39</v>
      </c>
      <c r="B548" s="315" t="s">
        <v>432</v>
      </c>
      <c r="C548" s="316" t="str">
        <f>VLOOKUP(A548,Tags!$A$4:$I$273,3+$A$1)</f>
        <v>Anzahl der Mängel</v>
      </c>
    </row>
    <row r="549" spans="1:3" ht="15.75">
      <c r="A549" s="314">
        <v>40</v>
      </c>
      <c r="B549" s="315" t="s">
        <v>434</v>
      </c>
      <c r="C549" s="316" t="str">
        <f>VLOOKUP(A549,Tags!$A$4:$I$273,3+$A$1)</f>
        <v>zu vervollständigen</v>
      </c>
    </row>
    <row r="550" spans="1:3" ht="15.75">
      <c r="A550" s="314">
        <v>41</v>
      </c>
      <c r="B550" s="315" t="s">
        <v>476</v>
      </c>
      <c r="C550" s="316" t="str">
        <f>VLOOKUP(A550,Tags!$A$4:$I$273,3+$A$1)</f>
        <v>% erreicht</v>
      </c>
    </row>
    <row r="551" spans="1:3" ht="15.75">
      <c r="A551" s="314">
        <v>42</v>
      </c>
      <c r="B551" s="315" t="s">
        <v>519</v>
      </c>
      <c r="C551" s="316" t="str">
        <f>VLOOKUP(A551,Tags!$A$4:$I$273,3+$A$1)</f>
        <v>Minimum</v>
      </c>
    </row>
    <row r="552" spans="1:3" ht="15.75">
      <c r="A552" s="314">
        <v>43</v>
      </c>
      <c r="B552" s="315" t="s">
        <v>477</v>
      </c>
      <c r="C552" s="316" t="str">
        <f>VLOOKUP(A552,Tags!$A$4:$I$273,3+$A$1)</f>
        <v>Punktzahl der Kategorie</v>
      </c>
    </row>
    <row r="553" spans="1:3" ht="15.75">
      <c r="A553" s="314">
        <v>44</v>
      </c>
      <c r="B553" s="315" t="s">
        <v>478</v>
      </c>
      <c r="C553" s="316" t="str">
        <f>VLOOKUP(A553,Tags!$A$4:$I$273,3+$A$1)</f>
        <v>erreichte Punktzahl</v>
      </c>
    </row>
    <row r="554" spans="1:3" ht="15.75">
      <c r="A554" s="314">
        <v>45</v>
      </c>
      <c r="B554" s="315" t="s">
        <v>433</v>
      </c>
      <c r="C554" s="316" t="str">
        <f>VLOOKUP(A554,Tags!$A$4:$I$273,3+$A$1)</f>
        <v>Status</v>
      </c>
    </row>
    <row r="555" spans="1:3" ht="15.75">
      <c r="A555" s="314">
        <v>46</v>
      </c>
      <c r="B555" s="315" t="s">
        <v>435</v>
      </c>
      <c r="C555" s="316" t="str">
        <f>VLOOKUP(A555,Tags!$A$4:$I$273,3+$A$1)</f>
        <v>% Vollständigkeit</v>
      </c>
    </row>
    <row r="556" spans="1:3" ht="15.75">
      <c r="A556" s="314">
        <v>47</v>
      </c>
      <c r="B556" s="315" t="s">
        <v>522</v>
      </c>
      <c r="C556" s="316" t="str">
        <f>VLOOKUP(A556,Tags!$A$4:$I$273,3+$A$1)</f>
        <v>Zwischensummen</v>
      </c>
    </row>
    <row r="557" spans="1:3" ht="15.75">
      <c r="A557" s="314">
        <v>48</v>
      </c>
      <c r="B557" s="315" t="s">
        <v>436</v>
      </c>
      <c r="C557" s="316" t="str">
        <f>VLOOKUP(A557,Tags!$A$4:$I$273,3+$A$1)</f>
        <v>Summen</v>
      </c>
    </row>
    <row r="558" spans="1:3" ht="15.75">
      <c r="A558" s="314">
        <v>49</v>
      </c>
      <c r="B558" s="315" t="s">
        <v>523</v>
      </c>
      <c r="C558" s="316" t="str">
        <f>VLOOKUP(A558,Tags!$A$4:$I$273,3+$A$1)</f>
        <v>Mindestanforderung für ESPA Award</v>
      </c>
    </row>
    <row r="559" spans="1:3" ht="15.75">
      <c r="A559" s="314">
        <v>50</v>
      </c>
      <c r="B559" s="315" t="s">
        <v>520</v>
      </c>
      <c r="C559" s="316" t="str">
        <f>VLOOKUP(A559,Tags!$A$4:$I$273,3+$A$1)</f>
        <v>Mindestpunktzahl dieser Kategorie</v>
      </c>
    </row>
    <row r="560" spans="1:3" ht="15.75">
      <c r="A560" s="314">
        <v>51</v>
      </c>
      <c r="B560" s="315" t="s">
        <v>524</v>
      </c>
      <c r="C560" s="316" t="str">
        <f>VLOOKUP(A560,Tags!$A$4:$I$273,3+$A$1)</f>
        <v>ESPA Award</v>
      </c>
    </row>
    <row r="561" spans="1:3" ht="15.75">
      <c r="A561" s="314">
        <v>52</v>
      </c>
      <c r="B561" s="315" t="s">
        <v>276</v>
      </c>
      <c r="C561" s="316" t="str">
        <f>VLOOKUP(A561,Tags!$A$4:$I$273,3+$A$1)</f>
        <v>Positionsliste</v>
      </c>
    </row>
    <row r="562" spans="1:3" ht="15.75">
      <c r="A562" s="314">
        <v>53</v>
      </c>
      <c r="B562" s="315" t="s">
        <v>92</v>
      </c>
      <c r="C562" s="316" t="str">
        <f>VLOOKUP(A562,Tags!$A$4:$I$273,3+$A$1)</f>
        <v>Messwerte</v>
      </c>
    </row>
    <row r="563" spans="1:3" ht="15.75">
      <c r="A563" s="314">
        <v>54</v>
      </c>
      <c r="B563" s="315" t="s">
        <v>480</v>
      </c>
      <c r="C563" s="316" t="str">
        <f>VLOOKUP(A563,Tags!$A$4:$I$273,3+$A$1)</f>
        <v>maximaler Beitrag zum Endergebnis</v>
      </c>
    </row>
    <row r="564" spans="1:3" ht="15.75">
      <c r="A564" s="314">
        <v>55</v>
      </c>
      <c r="B564" s="315" t="s">
        <v>475</v>
      </c>
      <c r="C564" s="316" t="str">
        <f>VLOOKUP(A564,Tags!$A$4:$I$273,3+$A$1)</f>
        <v>Beitrag zum Endergebnis</v>
      </c>
    </row>
    <row r="565" spans="1:3" ht="15.75">
      <c r="A565" s="314">
        <v>56</v>
      </c>
      <c r="B565" s="315" t="s">
        <v>4</v>
      </c>
      <c r="C565" s="316" t="str">
        <f>VLOOKUP(A565,Tags!$A$4:$I$273,3+$A$1)</f>
        <v>Anmerkungen</v>
      </c>
    </row>
    <row r="566" spans="1:3" ht="15.75">
      <c r="A566" s="314">
        <v>57</v>
      </c>
      <c r="B566" s="315" t="s">
        <v>1345</v>
      </c>
      <c r="C566" s="316" t="str">
        <f>VLOOKUP(A566,Tags!$A$4:$I$273,3+$A$1)</f>
        <v>Anmerkungen</v>
      </c>
    </row>
    <row r="567" spans="1:3" ht="15.75">
      <c r="A567" s="314">
        <v>58</v>
      </c>
      <c r="B567" s="315" t="s">
        <v>1354</v>
      </c>
      <c r="C567" s="316" t="str">
        <f>VLOOKUP(A567,Tags!$A$4:$I$273,3+$A$1)</f>
        <v>Dies wird alle Daten in dem ESPA Arbeitsblatt löschen. Sind Sie sicher?</v>
      </c>
    </row>
    <row r="568" spans="1:3" ht="31.5">
      <c r="A568" s="314">
        <v>59</v>
      </c>
      <c r="B568" s="315" t="s">
        <v>1352</v>
      </c>
      <c r="C568" s="316" t="str">
        <f>VLOOKUP(A568,Tags!$A$4:$I$273,3+$A$1)</f>
        <v>Sie haben ein unzulässiges Passwort eingegeben. Die ESPA Arbeitsblätter können nicht ungeschützt bleiben.</v>
      </c>
    </row>
    <row r="569" spans="1:3" ht="31.5">
      <c r="A569" s="314">
        <v>60</v>
      </c>
      <c r="B569" s="315" t="s">
        <v>1350</v>
      </c>
      <c r="C569" s="316" t="str">
        <f>VLOOKUP(A569,Tags!$A$4:$I$273,3+$A$1)</f>
        <v>Bitte geben Sie Ihr Passwort ein um das ESPA Arbeitsblatt zu öffnen.</v>
      </c>
    </row>
    <row r="570" spans="1:3" ht="15.75">
      <c r="A570" s="314">
        <v>61</v>
      </c>
      <c r="B570" s="315" t="s">
        <v>1351</v>
      </c>
      <c r="C570" s="316" t="str">
        <f>VLOOKUP(A570,Tags!$A$4:$I$273,3+$A$1)</f>
        <v>Eingabe Passwort</v>
      </c>
    </row>
    <row r="571" spans="1:3" ht="15.75">
      <c r="A571" s="314">
        <v>62</v>
      </c>
      <c r="B571" s="315" t="s">
        <v>1353</v>
      </c>
      <c r="C571" s="316" t="str">
        <f>VLOOKUP(A571,Tags!$A$4:$I$273,3+$A$1)</f>
        <v>Unzulässiges Passwort</v>
      </c>
    </row>
    <row r="572" spans="1:3" ht="31.5">
      <c r="A572" s="314">
        <v>63</v>
      </c>
      <c r="B572" s="315" t="s">
        <v>2699</v>
      </c>
      <c r="C572" s="316" t="str">
        <f>VLOOKUP(A572,Tags!$A$4:$I$273,3+$A$1)</f>
        <v>Hierdurch werden 14 Seiten auf Ihrem aktiven Drucker ausgedruckt. Sind Sie sicher?</v>
      </c>
    </row>
    <row r="573" spans="1:3" ht="15.75">
      <c r="A573" s="314">
        <v>64</v>
      </c>
      <c r="B573" s="315" t="s">
        <v>1356</v>
      </c>
      <c r="C573" s="316" t="str">
        <f>VLOOKUP(A573,Tags!$A$4:$I$273,3+$A$1)</f>
        <v>Alarm</v>
      </c>
    </row>
    <row r="574" spans="1:3" ht="31.5">
      <c r="A574" s="314">
        <v>65</v>
      </c>
      <c r="B574" s="315" t="s">
        <v>1787</v>
      </c>
      <c r="C574" s="316" t="str">
        <f>VLOOKUP(A574,Tags!$A$4:$I$273,3+$A$1)</f>
        <v>Das Ändern der Sprache wird alle Ihre bisherigen Eingaben zurücksetzen. Sind Sie sicher?</v>
      </c>
    </row>
    <row r="575" spans="1:3" ht="15.75">
      <c r="A575" s="314">
        <v>66</v>
      </c>
      <c r="B575" s="315" t="s">
        <v>1861</v>
      </c>
      <c r="C575" s="316" t="str">
        <f>VLOOKUP(A575,Tags!$A$4:$I$273,3+$A$1)</f>
        <v>Mindestbedingungen für den Gold Award</v>
      </c>
    </row>
    <row r="576" spans="1:3" ht="15.75">
      <c r="A576" s="314">
        <v>67</v>
      </c>
      <c r="B576" s="315" t="s">
        <v>1818</v>
      </c>
      <c r="C576" s="316" t="str">
        <f>VLOOKUP(A576,Tags!$A$4:$I$273,3+$A$1)</f>
        <v>ESPA Gold Award</v>
      </c>
    </row>
    <row r="577" spans="1:3" ht="15.75">
      <c r="A577" s="314">
        <v>68</v>
      </c>
      <c r="B577" s="315" t="s">
        <v>1819</v>
      </c>
      <c r="C577" s="316" t="str">
        <f>VLOOKUP(A577,Tags!$A$4:$I$273,3+$A$1)</f>
        <v>Globale Bewertung - Gold Award</v>
      </c>
    </row>
    <row r="578" spans="1:3" ht="31.5">
      <c r="A578" s="314">
        <v>69</v>
      </c>
      <c r="B578" s="315" t="s">
        <v>1820</v>
      </c>
      <c r="C578" s="316" t="str">
        <f>VLOOKUP(A578,Tags!$A$4:$I$273,3+$A$1)</f>
        <v>Das ESPA Arbeitsblatt verwendet Macros. Bitte das Arbeitsblatt schließen, Macros zulassen und neu anschließend erneut öffnen.</v>
      </c>
    </row>
    <row r="579" spans="1:3">
      <c r="A579" s="317">
        <v>70</v>
      </c>
      <c r="B579" s="316" t="s">
        <v>1788</v>
      </c>
      <c r="C579" s="316" t="str">
        <f>VLOOKUP(A579,Tags!$A$4:$I$273,3+$A$1)</f>
        <v>Baujahr</v>
      </c>
    </row>
    <row r="580" spans="1:3">
      <c r="A580" s="317">
        <v>71</v>
      </c>
      <c r="B580" s="316" t="s">
        <v>2709</v>
      </c>
      <c r="C580" s="316" t="str">
        <f>VLOOKUP(A580,Tags!$A$4:$I$273,3+$A$1)</f>
        <v>Bauart</v>
      </c>
    </row>
    <row r="581" spans="1:3">
      <c r="A581" s="317">
        <v>72</v>
      </c>
      <c r="B581" s="316" t="s">
        <v>1778</v>
      </c>
      <c r="C581" s="316" t="str">
        <f>VLOOKUP(A581,Tags!$A$4:$I$273,3+$A$1)</f>
        <v>Typ</v>
      </c>
    </row>
    <row r="582" spans="1:3">
      <c r="A582" s="317">
        <v>73</v>
      </c>
      <c r="B582" s="316" t="s">
        <v>2714</v>
      </c>
      <c r="C582" s="316" t="str">
        <f>VLOOKUP(A582,Tags!$A$4:$I$273,3+$A$1)</f>
        <v>Zutrittskontrolle</v>
      </c>
    </row>
    <row r="583" spans="1:3">
      <c r="A583" s="317">
        <v>74</v>
      </c>
      <c r="B583" s="316" t="s">
        <v>1786</v>
      </c>
      <c r="C583" s="316" t="str">
        <f>VLOOKUP(A583,Tags!$A$4:$I$273,3+$A$1)</f>
        <v>Anzahl Fahrstühle</v>
      </c>
    </row>
    <row r="584" spans="1:3">
      <c r="A584" s="317">
        <v>75</v>
      </c>
      <c r="B584" s="316" t="s">
        <v>1774</v>
      </c>
      <c r="C584" s="316" t="str">
        <f>VLOOKUP(A584,Tags!$A$4:$I$273,3+$A$1)</f>
        <v>Anzahl Ebenen</v>
      </c>
    </row>
    <row r="585" spans="1:3">
      <c r="A585" s="318">
        <v>76</v>
      </c>
      <c r="B585" s="319" t="s">
        <v>1773</v>
      </c>
      <c r="C585" s="319" t="str">
        <f>VLOOKUP(A585,Tags!$A$4:$I$273,3+$A$1)</f>
        <v>Stammdaten Einrichtung</v>
      </c>
    </row>
  </sheetData>
  <sheetProtection algorithmName="SHA-512" hashValue="ZKTf/B2Hx5trJ9CSV3IUlJclAS4wYpHmxKjhtQCXx01ko2hqqZApW9HE4HQOrMmzLV3ig3tanOCFaCp2IgdZQw==" saltValue="IU9DdnMp3n0KYT6T7wWheg==" spinCount="100000" sheet="1" objects="1" scenarios="1" formatRows="0" selectLockedCells="1"/>
  <conditionalFormatting sqref="C4:C273">
    <cfRule type="expression" dxfId="5" priority="3">
      <formula>AND(B4&lt;&gt;"",OR(C4="",C4=0))</formula>
    </cfRule>
  </conditionalFormatting>
  <conditionalFormatting sqref="C276:C507">
    <cfRule type="expression" dxfId="4" priority="2">
      <formula>AND(B276&lt;&gt;"",OR(C276="",C276=0))</formula>
    </cfRule>
  </conditionalFormatting>
  <conditionalFormatting sqref="C510:C585">
    <cfRule type="expression" dxfId="3" priority="1">
      <formula>AND(B510&lt;&gt;"",OR(C510="",C510=0))</formula>
    </cfRule>
  </conditionalFormatting>
  <pageMargins left="0.75" right="0.75" top="1" bottom="1" header="0.5" footer="0.5"/>
  <pageSetup paperSize="9" orientation="portrait" horizontalDpi="4294967292" verticalDpi="429496729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C585"/>
  <sheetViews>
    <sheetView workbookViewId="0">
      <selection activeCell="G15" sqref="G15"/>
    </sheetView>
  </sheetViews>
  <sheetFormatPr baseColWidth="10" defaultColWidth="10.86328125" defaultRowHeight="14.25"/>
  <cols>
    <col min="1" max="1" width="4.86328125" style="6" customWidth="1"/>
    <col min="2" max="2" width="51.86328125" style="6" customWidth="1"/>
    <col min="3" max="3" width="63" style="6" customWidth="1"/>
    <col min="4" max="16384" width="10.86328125" style="6"/>
  </cols>
  <sheetData>
    <row r="1" spans="1:3" ht="25.9" thickBot="1">
      <c r="A1" s="310">
        <v>4</v>
      </c>
      <c r="B1" s="332" t="s">
        <v>2718</v>
      </c>
      <c r="C1" s="333" t="s">
        <v>1357</v>
      </c>
    </row>
    <row r="3" spans="1:3" ht="21">
      <c r="A3" s="195" t="s">
        <v>2720</v>
      </c>
      <c r="B3" s="352"/>
      <c r="C3" s="196"/>
    </row>
    <row r="4" spans="1:3">
      <c r="A4" s="320">
        <v>1</v>
      </c>
      <c r="B4" s="184" t="s">
        <v>114</v>
      </c>
      <c r="C4" s="184" t="s">
        <v>1457</v>
      </c>
    </row>
    <row r="5" spans="1:3">
      <c r="A5" s="200">
        <v>2</v>
      </c>
      <c r="B5" s="185" t="s">
        <v>2</v>
      </c>
      <c r="C5" s="185" t="s">
        <v>1458</v>
      </c>
    </row>
    <row r="6" spans="1:3" ht="28.5">
      <c r="A6" s="200">
        <v>3</v>
      </c>
      <c r="B6" s="185" t="s">
        <v>84</v>
      </c>
      <c r="C6" s="185" t="s">
        <v>1459</v>
      </c>
    </row>
    <row r="7" spans="1:3" ht="28.5">
      <c r="A7" s="200">
        <v>4</v>
      </c>
      <c r="B7" s="185" t="s">
        <v>1789</v>
      </c>
      <c r="C7" s="185" t="s">
        <v>1792</v>
      </c>
    </row>
    <row r="8" spans="1:3" ht="28.5">
      <c r="A8" s="200">
        <v>5</v>
      </c>
      <c r="B8" s="185" t="s">
        <v>118</v>
      </c>
      <c r="C8" s="185" t="s">
        <v>1460</v>
      </c>
    </row>
    <row r="9" spans="1:3" ht="57">
      <c r="A9" s="200">
        <v>6</v>
      </c>
      <c r="B9" s="185" t="s">
        <v>1802</v>
      </c>
      <c r="C9" s="185" t="s">
        <v>1822</v>
      </c>
    </row>
    <row r="10" spans="1:3">
      <c r="A10" s="200">
        <v>7</v>
      </c>
      <c r="B10" s="185" t="s">
        <v>1794</v>
      </c>
      <c r="C10" s="185" t="s">
        <v>1797</v>
      </c>
    </row>
    <row r="11" spans="1:3" ht="85.5">
      <c r="A11" s="200">
        <v>8</v>
      </c>
      <c r="B11" s="185" t="s">
        <v>86</v>
      </c>
      <c r="C11" s="185" t="s">
        <v>1645</v>
      </c>
    </row>
    <row r="12" spans="1:3" ht="71.25">
      <c r="A12" s="200">
        <v>9</v>
      </c>
      <c r="B12" s="185" t="s">
        <v>87</v>
      </c>
      <c r="C12" s="185" t="s">
        <v>1646</v>
      </c>
    </row>
    <row r="13" spans="1:3" ht="42.75">
      <c r="A13" s="200">
        <v>10</v>
      </c>
      <c r="B13" s="185" t="s">
        <v>117</v>
      </c>
      <c r="C13" s="185" t="s">
        <v>1461</v>
      </c>
    </row>
    <row r="14" spans="1:3" ht="42.75">
      <c r="A14" s="200">
        <v>11</v>
      </c>
      <c r="B14" s="185" t="s">
        <v>85</v>
      </c>
      <c r="C14" s="185" t="s">
        <v>1462</v>
      </c>
    </row>
    <row r="15" spans="1:3">
      <c r="A15" s="200">
        <v>12</v>
      </c>
      <c r="B15" s="185" t="s">
        <v>88</v>
      </c>
      <c r="C15" s="185" t="s">
        <v>1463</v>
      </c>
    </row>
    <row r="16" spans="1:3" ht="42.75">
      <c r="A16" s="200">
        <v>13</v>
      </c>
      <c r="B16" s="185" t="s">
        <v>119</v>
      </c>
      <c r="C16" s="185" t="s">
        <v>1464</v>
      </c>
    </row>
    <row r="17" spans="1:3" ht="28.5">
      <c r="A17" s="200">
        <v>14</v>
      </c>
      <c r="B17" s="185" t="s">
        <v>1799</v>
      </c>
      <c r="C17" s="185" t="s">
        <v>1823</v>
      </c>
    </row>
    <row r="18" spans="1:3" ht="28.5">
      <c r="A18" s="200">
        <v>15</v>
      </c>
      <c r="B18" s="185" t="s">
        <v>1800</v>
      </c>
      <c r="C18" s="185" t="s">
        <v>1824</v>
      </c>
    </row>
    <row r="19" spans="1:3">
      <c r="A19" s="200">
        <v>16</v>
      </c>
      <c r="B19" s="185" t="s">
        <v>678</v>
      </c>
      <c r="C19" s="185" t="s">
        <v>1465</v>
      </c>
    </row>
    <row r="20" spans="1:3" ht="28.5">
      <c r="A20" s="200">
        <v>17</v>
      </c>
      <c r="B20" s="185" t="s">
        <v>474</v>
      </c>
      <c r="C20" s="185" t="s">
        <v>1466</v>
      </c>
    </row>
    <row r="21" spans="1:3" ht="57">
      <c r="A21" s="200">
        <v>18</v>
      </c>
      <c r="B21" s="185" t="s">
        <v>271</v>
      </c>
      <c r="C21" s="185" t="s">
        <v>1647</v>
      </c>
    </row>
    <row r="22" spans="1:3" ht="57">
      <c r="A22" s="200">
        <v>19</v>
      </c>
      <c r="B22" s="185" t="s">
        <v>272</v>
      </c>
      <c r="C22" s="185" t="s">
        <v>1648</v>
      </c>
    </row>
    <row r="23" spans="1:3" ht="57">
      <c r="A23" s="200">
        <v>20</v>
      </c>
      <c r="B23" s="185" t="s">
        <v>273</v>
      </c>
      <c r="C23" s="185" t="s">
        <v>1649</v>
      </c>
    </row>
    <row r="24" spans="1:3" ht="71.25">
      <c r="A24" s="200">
        <v>21</v>
      </c>
      <c r="B24" s="256" t="s">
        <v>1804</v>
      </c>
      <c r="C24" s="256" t="s">
        <v>1825</v>
      </c>
    </row>
    <row r="25" spans="1:3" ht="71.25">
      <c r="A25" s="200">
        <v>22</v>
      </c>
      <c r="B25" s="256" t="s">
        <v>1805</v>
      </c>
      <c r="C25" s="256" t="s">
        <v>1826</v>
      </c>
    </row>
    <row r="26" spans="1:3" ht="85.5">
      <c r="A26" s="200">
        <v>23</v>
      </c>
      <c r="B26" s="256" t="s">
        <v>1821</v>
      </c>
      <c r="C26" s="256" t="s">
        <v>1827</v>
      </c>
    </row>
    <row r="27" spans="1:3" ht="71.25">
      <c r="A27" s="200">
        <v>24</v>
      </c>
      <c r="B27" s="185" t="s">
        <v>275</v>
      </c>
      <c r="C27" s="185" t="s">
        <v>1650</v>
      </c>
    </row>
    <row r="28" spans="1:3" ht="85.5">
      <c r="A28" s="200">
        <v>25</v>
      </c>
      <c r="B28" s="185" t="s">
        <v>540</v>
      </c>
      <c r="C28" s="185" t="s">
        <v>1651</v>
      </c>
    </row>
    <row r="29" spans="1:3" ht="57">
      <c r="A29" s="200">
        <v>26</v>
      </c>
      <c r="B29" s="185" t="s">
        <v>679</v>
      </c>
      <c r="C29" s="185" t="s">
        <v>1652</v>
      </c>
    </row>
    <row r="30" spans="1:3">
      <c r="A30" s="200">
        <v>27</v>
      </c>
      <c r="B30" s="185" t="s">
        <v>122</v>
      </c>
      <c r="C30" s="185" t="s">
        <v>1467</v>
      </c>
    </row>
    <row r="31" spans="1:3">
      <c r="A31" s="200">
        <v>28</v>
      </c>
      <c r="B31" s="185" t="s">
        <v>113</v>
      </c>
      <c r="C31" s="185" t="s">
        <v>1468</v>
      </c>
    </row>
    <row r="32" spans="1:3">
      <c r="A32" s="200">
        <v>29</v>
      </c>
      <c r="B32" s="185" t="s">
        <v>109</v>
      </c>
      <c r="C32" s="185" t="s">
        <v>1469</v>
      </c>
    </row>
    <row r="33" spans="1:3">
      <c r="A33" s="200">
        <v>30</v>
      </c>
      <c r="B33" s="185" t="s">
        <v>110</v>
      </c>
      <c r="C33" s="185" t="s">
        <v>1470</v>
      </c>
    </row>
    <row r="34" spans="1:3">
      <c r="A34" s="200">
        <v>31</v>
      </c>
      <c r="B34" s="185" t="s">
        <v>111</v>
      </c>
      <c r="C34" s="185" t="s">
        <v>1471</v>
      </c>
    </row>
    <row r="35" spans="1:3">
      <c r="A35" s="200">
        <v>32</v>
      </c>
      <c r="B35" s="185" t="s">
        <v>112</v>
      </c>
      <c r="C35" s="185" t="s">
        <v>1472</v>
      </c>
    </row>
    <row r="36" spans="1:3">
      <c r="A36" s="200">
        <v>33</v>
      </c>
      <c r="B36" s="185" t="s">
        <v>128</v>
      </c>
      <c r="C36" s="185" t="s">
        <v>1473</v>
      </c>
    </row>
    <row r="37" spans="1:3">
      <c r="A37" s="200">
        <v>34</v>
      </c>
      <c r="B37" s="185" t="s">
        <v>1323</v>
      </c>
      <c r="C37" s="185" t="s">
        <v>1474</v>
      </c>
    </row>
    <row r="38" spans="1:3">
      <c r="A38" s="200">
        <v>35</v>
      </c>
      <c r="B38" s="185" t="s">
        <v>1322</v>
      </c>
      <c r="C38" s="185" t="s">
        <v>1475</v>
      </c>
    </row>
    <row r="39" spans="1:3">
      <c r="A39" s="200">
        <v>36</v>
      </c>
      <c r="B39" s="185" t="s">
        <v>1321</v>
      </c>
      <c r="C39" s="185" t="s">
        <v>1476</v>
      </c>
    </row>
    <row r="40" spans="1:3">
      <c r="A40" s="200">
        <v>37</v>
      </c>
      <c r="B40" s="185" t="s">
        <v>129</v>
      </c>
      <c r="C40" s="185" t="s">
        <v>1477</v>
      </c>
    </row>
    <row r="41" spans="1:3" ht="42.75">
      <c r="A41" s="200">
        <v>38</v>
      </c>
      <c r="B41" s="185" t="s">
        <v>157</v>
      </c>
      <c r="C41" s="185" t="s">
        <v>1653</v>
      </c>
    </row>
    <row r="42" spans="1:3" ht="57">
      <c r="A42" s="200">
        <v>39</v>
      </c>
      <c r="B42" s="185" t="s">
        <v>680</v>
      </c>
      <c r="C42" s="185" t="s">
        <v>1654</v>
      </c>
    </row>
    <row r="43" spans="1:3">
      <c r="A43" s="200">
        <v>40</v>
      </c>
      <c r="B43" s="185" t="s">
        <v>1320</v>
      </c>
      <c r="C43" s="185" t="s">
        <v>1478</v>
      </c>
    </row>
    <row r="44" spans="1:3">
      <c r="A44" s="200">
        <v>41</v>
      </c>
      <c r="B44" s="185" t="s">
        <v>133</v>
      </c>
      <c r="C44" s="185" t="s">
        <v>1479</v>
      </c>
    </row>
    <row r="45" spans="1:3">
      <c r="A45" s="200">
        <v>42</v>
      </c>
      <c r="B45" s="185" t="s">
        <v>132</v>
      </c>
      <c r="C45" s="185" t="s">
        <v>1480</v>
      </c>
    </row>
    <row r="46" spans="1:3">
      <c r="A46" s="200">
        <v>43</v>
      </c>
      <c r="B46" s="185" t="s">
        <v>134</v>
      </c>
      <c r="C46" s="185" t="s">
        <v>1481</v>
      </c>
    </row>
    <row r="47" spans="1:3">
      <c r="A47" s="200">
        <v>44</v>
      </c>
      <c r="B47" s="185" t="s">
        <v>1319</v>
      </c>
      <c r="C47" s="185" t="s">
        <v>1482</v>
      </c>
    </row>
    <row r="48" spans="1:3">
      <c r="A48" s="200">
        <v>45</v>
      </c>
      <c r="B48" s="185" t="s">
        <v>135</v>
      </c>
      <c r="C48" s="185" t="s">
        <v>1483</v>
      </c>
    </row>
    <row r="49" spans="1:3">
      <c r="A49" s="200">
        <v>46</v>
      </c>
      <c r="B49" s="185" t="s">
        <v>136</v>
      </c>
      <c r="C49" s="185" t="s">
        <v>1484</v>
      </c>
    </row>
    <row r="50" spans="1:3">
      <c r="A50" s="200">
        <v>47</v>
      </c>
      <c r="B50" s="185" t="s">
        <v>137</v>
      </c>
      <c r="C50" s="185" t="s">
        <v>1485</v>
      </c>
    </row>
    <row r="51" spans="1:3">
      <c r="A51" s="200">
        <v>48</v>
      </c>
      <c r="B51" s="185" t="s">
        <v>138</v>
      </c>
      <c r="C51" s="185" t="s">
        <v>1486</v>
      </c>
    </row>
    <row r="52" spans="1:3" ht="57">
      <c r="A52" s="200">
        <v>49</v>
      </c>
      <c r="B52" s="185" t="s">
        <v>682</v>
      </c>
      <c r="C52" s="185" t="s">
        <v>1655</v>
      </c>
    </row>
    <row r="53" spans="1:3" ht="57">
      <c r="A53" s="200">
        <v>50</v>
      </c>
      <c r="B53" s="185" t="s">
        <v>684</v>
      </c>
      <c r="C53" s="185" t="s">
        <v>1656</v>
      </c>
    </row>
    <row r="54" spans="1:3" ht="42.75">
      <c r="A54" s="200">
        <v>51</v>
      </c>
      <c r="B54" s="185" t="s">
        <v>483</v>
      </c>
      <c r="C54" s="185" t="s">
        <v>1657</v>
      </c>
    </row>
    <row r="55" spans="1:3" ht="28.5">
      <c r="A55" s="200">
        <v>52</v>
      </c>
      <c r="B55" s="185" t="s">
        <v>222</v>
      </c>
      <c r="C55" s="185" t="s">
        <v>1658</v>
      </c>
    </row>
    <row r="56" spans="1:3">
      <c r="A56" s="200">
        <v>53</v>
      </c>
      <c r="B56" s="185" t="s">
        <v>139</v>
      </c>
      <c r="C56" s="185" t="s">
        <v>1487</v>
      </c>
    </row>
    <row r="57" spans="1:3">
      <c r="A57" s="200">
        <v>54</v>
      </c>
      <c r="B57" s="185" t="s">
        <v>140</v>
      </c>
      <c r="C57" s="185" t="s">
        <v>1488</v>
      </c>
    </row>
    <row r="58" spans="1:3">
      <c r="A58" s="200">
        <v>55</v>
      </c>
      <c r="B58" s="185" t="s">
        <v>141</v>
      </c>
      <c r="C58" s="185" t="s">
        <v>1489</v>
      </c>
    </row>
    <row r="59" spans="1:3">
      <c r="A59" s="200">
        <v>56</v>
      </c>
      <c r="B59" s="185" t="s">
        <v>142</v>
      </c>
      <c r="C59" s="185" t="s">
        <v>1490</v>
      </c>
    </row>
    <row r="60" spans="1:3">
      <c r="A60" s="200">
        <v>57</v>
      </c>
      <c r="B60" s="185" t="s">
        <v>143</v>
      </c>
      <c r="C60" s="185" t="s">
        <v>1491</v>
      </c>
    </row>
    <row r="61" spans="1:3">
      <c r="A61" s="200">
        <v>58</v>
      </c>
      <c r="B61" s="185" t="s">
        <v>144</v>
      </c>
      <c r="C61" s="185" t="s">
        <v>1492</v>
      </c>
    </row>
    <row r="62" spans="1:3">
      <c r="A62" s="200">
        <v>59</v>
      </c>
      <c r="B62" s="185" t="s">
        <v>145</v>
      </c>
      <c r="C62" s="185" t="s">
        <v>1493</v>
      </c>
    </row>
    <row r="63" spans="1:3" ht="28.5">
      <c r="A63" s="200">
        <v>60</v>
      </c>
      <c r="B63" s="185" t="s">
        <v>484</v>
      </c>
      <c r="C63" s="185" t="s">
        <v>1659</v>
      </c>
    </row>
    <row r="64" spans="1:3" ht="28.5">
      <c r="A64" s="200">
        <v>61</v>
      </c>
      <c r="B64" s="185" t="s">
        <v>146</v>
      </c>
      <c r="C64" s="185" t="s">
        <v>1494</v>
      </c>
    </row>
    <row r="65" spans="1:3">
      <c r="A65" s="200">
        <v>62</v>
      </c>
      <c r="B65" s="185" t="s">
        <v>5</v>
      </c>
      <c r="C65" s="185" t="s">
        <v>1495</v>
      </c>
    </row>
    <row r="66" spans="1:3">
      <c r="A66" s="200">
        <v>63</v>
      </c>
      <c r="B66" s="185" t="s">
        <v>147</v>
      </c>
      <c r="C66" s="185" t="s">
        <v>1496</v>
      </c>
    </row>
    <row r="67" spans="1:3" ht="71.25">
      <c r="A67" s="200">
        <v>64</v>
      </c>
      <c r="B67" s="185" t="s">
        <v>686</v>
      </c>
      <c r="C67" s="185" t="s">
        <v>1660</v>
      </c>
    </row>
    <row r="68" spans="1:3" ht="28.5">
      <c r="A68" s="200">
        <v>65</v>
      </c>
      <c r="B68" s="185" t="s">
        <v>232</v>
      </c>
      <c r="C68" s="185" t="s">
        <v>1661</v>
      </c>
    </row>
    <row r="69" spans="1:3">
      <c r="A69" s="200">
        <v>66</v>
      </c>
      <c r="B69" s="185" t="s">
        <v>1325</v>
      </c>
      <c r="C69" s="185" t="s">
        <v>1497</v>
      </c>
    </row>
    <row r="70" spans="1:3">
      <c r="A70" s="200">
        <v>67</v>
      </c>
      <c r="B70" s="185" t="s">
        <v>1326</v>
      </c>
      <c r="C70" s="185" t="s">
        <v>1498</v>
      </c>
    </row>
    <row r="71" spans="1:3" ht="28.5">
      <c r="A71" s="200">
        <v>68</v>
      </c>
      <c r="B71" s="185" t="s">
        <v>152</v>
      </c>
      <c r="C71" s="185" t="s">
        <v>1499</v>
      </c>
    </row>
    <row r="72" spans="1:3">
      <c r="A72" s="200">
        <v>69</v>
      </c>
      <c r="B72" s="185" t="s">
        <v>1327</v>
      </c>
      <c r="C72" s="185" t="s">
        <v>1500</v>
      </c>
    </row>
    <row r="73" spans="1:3">
      <c r="A73" s="200">
        <v>70</v>
      </c>
      <c r="B73" s="185" t="s">
        <v>154</v>
      </c>
      <c r="C73" s="185" t="s">
        <v>1501</v>
      </c>
    </row>
    <row r="74" spans="1:3">
      <c r="A74" s="200">
        <v>71</v>
      </c>
      <c r="B74" s="185" t="s">
        <v>1328</v>
      </c>
      <c r="C74" s="185" t="s">
        <v>1502</v>
      </c>
    </row>
    <row r="75" spans="1:3" ht="28.5">
      <c r="A75" s="200">
        <v>72</v>
      </c>
      <c r="B75" s="185" t="s">
        <v>153</v>
      </c>
      <c r="C75" s="185" t="s">
        <v>1503</v>
      </c>
    </row>
    <row r="76" spans="1:3">
      <c r="A76" s="200">
        <v>73</v>
      </c>
      <c r="B76" s="185" t="s">
        <v>1327</v>
      </c>
      <c r="C76" s="185" t="s">
        <v>1500</v>
      </c>
    </row>
    <row r="77" spans="1:3">
      <c r="A77" s="200">
        <v>74</v>
      </c>
      <c r="B77" s="185" t="s">
        <v>154</v>
      </c>
      <c r="C77" s="185" t="s">
        <v>1501</v>
      </c>
    </row>
    <row r="78" spans="1:3">
      <c r="A78" s="200">
        <v>75</v>
      </c>
      <c r="B78" s="185" t="s">
        <v>1328</v>
      </c>
      <c r="C78" s="185" t="s">
        <v>1502</v>
      </c>
    </row>
    <row r="79" spans="1:3">
      <c r="A79" s="200">
        <v>76</v>
      </c>
      <c r="B79" s="185" t="s">
        <v>1329</v>
      </c>
      <c r="C79" s="185" t="s">
        <v>1504</v>
      </c>
    </row>
    <row r="80" spans="1:3">
      <c r="A80" s="200">
        <v>77</v>
      </c>
      <c r="B80" s="185" t="s">
        <v>155</v>
      </c>
      <c r="C80" s="185" t="s">
        <v>1505</v>
      </c>
    </row>
    <row r="81" spans="1:3" ht="28.5">
      <c r="A81" s="200">
        <v>78</v>
      </c>
      <c r="B81" s="185" t="s">
        <v>156</v>
      </c>
      <c r="C81" s="185" t="s">
        <v>1506</v>
      </c>
    </row>
    <row r="82" spans="1:3">
      <c r="A82" s="200">
        <v>79</v>
      </c>
      <c r="B82" s="185" t="s">
        <v>2723</v>
      </c>
      <c r="C82" s="185" t="s">
        <v>1507</v>
      </c>
    </row>
    <row r="83" spans="1:3">
      <c r="A83" s="200">
        <v>80</v>
      </c>
      <c r="B83" s="185" t="s">
        <v>1327</v>
      </c>
      <c r="C83" s="185" t="s">
        <v>1500</v>
      </c>
    </row>
    <row r="84" spans="1:3">
      <c r="A84" s="200">
        <v>81</v>
      </c>
      <c r="B84" s="185" t="s">
        <v>154</v>
      </c>
      <c r="C84" s="185" t="s">
        <v>1501</v>
      </c>
    </row>
    <row r="85" spans="1:3">
      <c r="A85" s="200">
        <v>82</v>
      </c>
      <c r="B85" s="185" t="s">
        <v>1328</v>
      </c>
      <c r="C85" s="185" t="s">
        <v>1502</v>
      </c>
    </row>
    <row r="86" spans="1:3" ht="28.5">
      <c r="A86" s="200">
        <v>83</v>
      </c>
      <c r="B86" s="185" t="s">
        <v>161</v>
      </c>
      <c r="C86" s="185" t="s">
        <v>1508</v>
      </c>
    </row>
    <row r="87" spans="1:3">
      <c r="A87" s="200">
        <v>84</v>
      </c>
      <c r="B87" s="185" t="s">
        <v>159</v>
      </c>
      <c r="C87" s="185" t="s">
        <v>1509</v>
      </c>
    </row>
    <row r="88" spans="1:3">
      <c r="A88" s="200">
        <v>85</v>
      </c>
      <c r="B88" s="185" t="s">
        <v>278</v>
      </c>
      <c r="C88" s="185" t="s">
        <v>1510</v>
      </c>
    </row>
    <row r="89" spans="1:3">
      <c r="A89" s="200">
        <v>86</v>
      </c>
      <c r="B89" s="185" t="s">
        <v>160</v>
      </c>
      <c r="C89" s="185" t="s">
        <v>1511</v>
      </c>
    </row>
    <row r="90" spans="1:3">
      <c r="A90" s="200">
        <v>87</v>
      </c>
      <c r="B90" s="185" t="s">
        <v>1330</v>
      </c>
      <c r="C90" s="185" t="s">
        <v>1512</v>
      </c>
    </row>
    <row r="91" spans="1:3" ht="28.5">
      <c r="A91" s="200">
        <v>88</v>
      </c>
      <c r="B91" s="185" t="s">
        <v>2724</v>
      </c>
      <c r="C91" s="185" t="s">
        <v>1513</v>
      </c>
    </row>
    <row r="92" spans="1:3" ht="114">
      <c r="A92" s="200">
        <v>89</v>
      </c>
      <c r="B92" s="185" t="s">
        <v>2725</v>
      </c>
      <c r="C92" s="185" t="s">
        <v>1662</v>
      </c>
    </row>
    <row r="93" spans="1:3" ht="270.75">
      <c r="A93" s="200">
        <v>90</v>
      </c>
      <c r="B93" s="185" t="s">
        <v>82</v>
      </c>
      <c r="C93" s="185" t="s">
        <v>1663</v>
      </c>
    </row>
    <row r="94" spans="1:3" ht="42.75">
      <c r="A94" s="200">
        <v>91</v>
      </c>
      <c r="B94" s="185" t="s">
        <v>281</v>
      </c>
      <c r="C94" s="185" t="s">
        <v>1664</v>
      </c>
    </row>
    <row r="95" spans="1:3">
      <c r="A95" s="200">
        <v>92</v>
      </c>
      <c r="B95" s="185" t="s">
        <v>482</v>
      </c>
      <c r="C95" s="185" t="s">
        <v>1514</v>
      </c>
    </row>
    <row r="96" spans="1:3" ht="28.5">
      <c r="A96" s="200">
        <v>93</v>
      </c>
      <c r="B96" s="185" t="s">
        <v>162</v>
      </c>
      <c r="C96" s="185" t="s">
        <v>1515</v>
      </c>
    </row>
    <row r="97" spans="1:3" ht="25.5">
      <c r="A97" s="200">
        <v>94</v>
      </c>
      <c r="B97" s="187" t="s">
        <v>166</v>
      </c>
      <c r="C97" s="187" t="s">
        <v>1516</v>
      </c>
    </row>
    <row r="98" spans="1:3" ht="38.25">
      <c r="A98" s="200">
        <v>95</v>
      </c>
      <c r="B98" s="187" t="s">
        <v>171</v>
      </c>
      <c r="C98" s="187" t="s">
        <v>1665</v>
      </c>
    </row>
    <row r="99" spans="1:3" ht="25.5">
      <c r="A99" s="200">
        <v>96</v>
      </c>
      <c r="B99" s="187" t="s">
        <v>1334</v>
      </c>
      <c r="C99" s="187" t="s">
        <v>1517</v>
      </c>
    </row>
    <row r="100" spans="1:3" ht="25.5">
      <c r="A100" s="200">
        <v>97</v>
      </c>
      <c r="B100" s="188" t="s">
        <v>172</v>
      </c>
      <c r="C100" s="188" t="s">
        <v>1518</v>
      </c>
    </row>
    <row r="101" spans="1:3" ht="27">
      <c r="A101" s="200">
        <v>98</v>
      </c>
      <c r="B101" s="189" t="s">
        <v>2726</v>
      </c>
      <c r="C101" s="189" t="s">
        <v>2750</v>
      </c>
    </row>
    <row r="102" spans="1:3" ht="38.25">
      <c r="A102" s="200">
        <v>99</v>
      </c>
      <c r="B102" s="187" t="s">
        <v>178</v>
      </c>
      <c r="C102" s="187" t="s">
        <v>1666</v>
      </c>
    </row>
    <row r="103" spans="1:3" ht="25.5">
      <c r="A103" s="200">
        <v>100</v>
      </c>
      <c r="B103" s="187" t="s">
        <v>179</v>
      </c>
      <c r="C103" s="187" t="s">
        <v>1667</v>
      </c>
    </row>
    <row r="104" spans="1:3" ht="25.5">
      <c r="A104" s="200">
        <v>101</v>
      </c>
      <c r="B104" s="187" t="s">
        <v>180</v>
      </c>
      <c r="C104" s="187" t="s">
        <v>1668</v>
      </c>
    </row>
    <row r="105" spans="1:3">
      <c r="A105" s="200">
        <v>102</v>
      </c>
      <c r="B105" s="185" t="s">
        <v>181</v>
      </c>
      <c r="C105" s="185" t="s">
        <v>1519</v>
      </c>
    </row>
    <row r="106" spans="1:3">
      <c r="A106" s="200">
        <v>103</v>
      </c>
      <c r="B106" s="185" t="s">
        <v>276</v>
      </c>
      <c r="C106" s="185" t="s">
        <v>1520</v>
      </c>
    </row>
    <row r="107" spans="1:3" ht="71.25">
      <c r="A107" s="200">
        <v>104</v>
      </c>
      <c r="B107" s="185" t="s">
        <v>694</v>
      </c>
      <c r="C107" s="185" t="s">
        <v>1669</v>
      </c>
    </row>
    <row r="108" spans="1:3" ht="28.5">
      <c r="A108" s="200">
        <v>105</v>
      </c>
      <c r="B108" s="185" t="s">
        <v>494</v>
      </c>
      <c r="C108" s="185" t="s">
        <v>1521</v>
      </c>
    </row>
    <row r="109" spans="1:3" ht="42.75">
      <c r="A109" s="200">
        <v>106</v>
      </c>
      <c r="B109" s="185" t="s">
        <v>193</v>
      </c>
      <c r="C109" s="185" t="s">
        <v>1670</v>
      </c>
    </row>
    <row r="110" spans="1:3" ht="28.5">
      <c r="A110" s="200">
        <v>107</v>
      </c>
      <c r="B110" s="185" t="s">
        <v>194</v>
      </c>
      <c r="C110" s="185" t="s">
        <v>1522</v>
      </c>
    </row>
    <row r="111" spans="1:3" ht="42.75">
      <c r="A111" s="200">
        <v>108</v>
      </c>
      <c r="B111" s="185" t="s">
        <v>197</v>
      </c>
      <c r="C111" s="185" t="s">
        <v>1671</v>
      </c>
    </row>
    <row r="112" spans="1:3">
      <c r="A112" s="200">
        <v>109</v>
      </c>
      <c r="B112" s="185" t="s">
        <v>198</v>
      </c>
      <c r="C112" s="185" t="s">
        <v>1523</v>
      </c>
    </row>
    <row r="113" spans="1:3" ht="28.5">
      <c r="A113" s="200">
        <v>110</v>
      </c>
      <c r="B113" s="185" t="s">
        <v>268</v>
      </c>
      <c r="C113" s="185" t="s">
        <v>1524</v>
      </c>
    </row>
    <row r="114" spans="1:3">
      <c r="A114" s="200">
        <v>111</v>
      </c>
      <c r="B114" s="185" t="s">
        <v>269</v>
      </c>
      <c r="C114" s="185" t="s">
        <v>1525</v>
      </c>
    </row>
    <row r="115" spans="1:3" ht="28.5">
      <c r="A115" s="200">
        <v>112</v>
      </c>
      <c r="B115" s="185" t="s">
        <v>199</v>
      </c>
      <c r="C115" s="185" t="s">
        <v>1526</v>
      </c>
    </row>
    <row r="116" spans="1:3">
      <c r="A116" s="200">
        <v>113</v>
      </c>
      <c r="B116" s="185" t="s">
        <v>203</v>
      </c>
      <c r="C116" s="185" t="s">
        <v>1527</v>
      </c>
    </row>
    <row r="117" spans="1:3" ht="28.5">
      <c r="A117" s="200">
        <v>114</v>
      </c>
      <c r="B117" s="185" t="s">
        <v>495</v>
      </c>
      <c r="C117" s="185" t="s">
        <v>1672</v>
      </c>
    </row>
    <row r="118" spans="1:3" ht="28.5">
      <c r="A118" s="200">
        <v>115</v>
      </c>
      <c r="B118" s="185" t="s">
        <v>496</v>
      </c>
      <c r="C118" s="185" t="s">
        <v>1673</v>
      </c>
    </row>
    <row r="119" spans="1:3" ht="42.75">
      <c r="A119" s="200">
        <v>116</v>
      </c>
      <c r="B119" s="185" t="s">
        <v>497</v>
      </c>
      <c r="C119" s="185" t="s">
        <v>1674</v>
      </c>
    </row>
    <row r="120" spans="1:3">
      <c r="A120" s="200">
        <v>117</v>
      </c>
      <c r="B120" s="185" t="s">
        <v>209</v>
      </c>
      <c r="C120" s="185" t="s">
        <v>1528</v>
      </c>
    </row>
    <row r="121" spans="1:3">
      <c r="A121" s="200">
        <v>118</v>
      </c>
      <c r="B121" s="185" t="s">
        <v>210</v>
      </c>
      <c r="C121" s="185" t="s">
        <v>1529</v>
      </c>
    </row>
    <row r="122" spans="1:3">
      <c r="A122" s="200">
        <v>119</v>
      </c>
      <c r="B122" s="185" t="s">
        <v>505</v>
      </c>
      <c r="C122" s="185" t="s">
        <v>1530</v>
      </c>
    </row>
    <row r="123" spans="1:3" ht="28.5">
      <c r="A123" s="200">
        <v>120</v>
      </c>
      <c r="B123" s="185" t="s">
        <v>498</v>
      </c>
      <c r="C123" s="185" t="s">
        <v>1675</v>
      </c>
    </row>
    <row r="124" spans="1:3">
      <c r="A124" s="200">
        <v>121</v>
      </c>
      <c r="B124" s="185" t="s">
        <v>499</v>
      </c>
      <c r="C124" s="185" t="s">
        <v>1531</v>
      </c>
    </row>
    <row r="125" spans="1:3">
      <c r="A125" s="200">
        <v>122</v>
      </c>
      <c r="B125" s="185" t="s">
        <v>504</v>
      </c>
      <c r="C125" s="185" t="s">
        <v>1532</v>
      </c>
    </row>
    <row r="126" spans="1:3">
      <c r="A126" s="200">
        <v>123</v>
      </c>
      <c r="B126" s="185" t="s">
        <v>248</v>
      </c>
      <c r="C126" s="185" t="s">
        <v>1533</v>
      </c>
    </row>
    <row r="127" spans="1:3">
      <c r="A127" s="200">
        <v>124</v>
      </c>
      <c r="B127" s="185" t="s">
        <v>249</v>
      </c>
      <c r="C127" s="185" t="s">
        <v>1534</v>
      </c>
    </row>
    <row r="128" spans="1:3" ht="28.5">
      <c r="A128" s="200">
        <v>125</v>
      </c>
      <c r="B128" s="185" t="s">
        <v>502</v>
      </c>
      <c r="C128" s="185" t="s">
        <v>1535</v>
      </c>
    </row>
    <row r="129" spans="1:3">
      <c r="A129" s="200">
        <v>126</v>
      </c>
      <c r="B129" s="187" t="s">
        <v>500</v>
      </c>
      <c r="C129" s="187" t="s">
        <v>1536</v>
      </c>
    </row>
    <row r="130" spans="1:3">
      <c r="A130" s="200">
        <v>127</v>
      </c>
      <c r="B130" s="188" t="s">
        <v>212</v>
      </c>
      <c r="C130" s="188" t="s">
        <v>1537</v>
      </c>
    </row>
    <row r="131" spans="1:3">
      <c r="A131" s="200">
        <v>128</v>
      </c>
      <c r="B131" s="189" t="s">
        <v>501</v>
      </c>
      <c r="C131" s="189" t="s">
        <v>1538</v>
      </c>
    </row>
    <row r="132" spans="1:3">
      <c r="A132" s="200">
        <v>129</v>
      </c>
      <c r="B132" s="187" t="s">
        <v>1336</v>
      </c>
      <c r="C132" s="187" t="s">
        <v>1539</v>
      </c>
    </row>
    <row r="133" spans="1:3">
      <c r="A133" s="200">
        <v>130</v>
      </c>
      <c r="B133" s="190" t="s">
        <v>253</v>
      </c>
      <c r="C133" s="190" t="s">
        <v>1540</v>
      </c>
    </row>
    <row r="134" spans="1:3">
      <c r="A134" s="200">
        <v>131</v>
      </c>
      <c r="B134" s="190" t="s">
        <v>254</v>
      </c>
      <c r="C134" s="190" t="s">
        <v>1541</v>
      </c>
    </row>
    <row r="135" spans="1:3" ht="25.5">
      <c r="A135" s="200">
        <v>132</v>
      </c>
      <c r="B135" s="190" t="s">
        <v>255</v>
      </c>
      <c r="C135" s="190" t="s">
        <v>1542</v>
      </c>
    </row>
    <row r="136" spans="1:3">
      <c r="A136" s="200">
        <v>133</v>
      </c>
      <c r="B136" s="190" t="s">
        <v>256</v>
      </c>
      <c r="C136" s="190" t="s">
        <v>1543</v>
      </c>
    </row>
    <row r="137" spans="1:3" ht="38.25">
      <c r="A137" s="200">
        <v>134</v>
      </c>
      <c r="B137" s="187" t="s">
        <v>437</v>
      </c>
      <c r="C137" s="187" t="s">
        <v>1676</v>
      </c>
    </row>
    <row r="138" spans="1:3">
      <c r="A138" s="200">
        <v>135</v>
      </c>
      <c r="B138" s="185" t="s">
        <v>182</v>
      </c>
      <c r="C138" s="185" t="s">
        <v>1544</v>
      </c>
    </row>
    <row r="139" spans="1:3">
      <c r="A139" s="200">
        <v>136</v>
      </c>
      <c r="B139" s="185" t="s">
        <v>276</v>
      </c>
      <c r="C139" s="185" t="s">
        <v>1520</v>
      </c>
    </row>
    <row r="140" spans="1:3" ht="28.5">
      <c r="A140" s="200">
        <v>137</v>
      </c>
      <c r="B140" s="185" t="s">
        <v>93</v>
      </c>
      <c r="C140" s="185" t="s">
        <v>1545</v>
      </c>
    </row>
    <row r="141" spans="1:3" ht="28.5">
      <c r="A141" s="200">
        <v>138</v>
      </c>
      <c r="B141" s="185" t="s">
        <v>309</v>
      </c>
      <c r="C141" s="185" t="s">
        <v>1677</v>
      </c>
    </row>
    <row r="142" spans="1:3">
      <c r="A142" s="200">
        <v>139</v>
      </c>
      <c r="B142" s="185" t="s">
        <v>290</v>
      </c>
      <c r="C142" s="185" t="s">
        <v>1546</v>
      </c>
    </row>
    <row r="143" spans="1:3">
      <c r="A143" s="200">
        <v>140</v>
      </c>
      <c r="B143" s="185" t="s">
        <v>282</v>
      </c>
      <c r="C143" s="185" t="s">
        <v>1547</v>
      </c>
    </row>
    <row r="144" spans="1:3">
      <c r="A144" s="200">
        <v>141</v>
      </c>
      <c r="B144" s="185" t="s">
        <v>283</v>
      </c>
      <c r="C144" s="185" t="s">
        <v>1548</v>
      </c>
    </row>
    <row r="145" spans="1:3">
      <c r="A145" s="200">
        <v>142</v>
      </c>
      <c r="B145" s="185" t="s">
        <v>284</v>
      </c>
      <c r="C145" s="185" t="s">
        <v>1549</v>
      </c>
    </row>
    <row r="146" spans="1:3">
      <c r="A146" s="200">
        <v>143</v>
      </c>
      <c r="B146" s="185" t="s">
        <v>285</v>
      </c>
      <c r="C146" s="185" t="s">
        <v>1550</v>
      </c>
    </row>
    <row r="147" spans="1:3">
      <c r="A147" s="200">
        <v>144</v>
      </c>
      <c r="B147" s="185" t="s">
        <v>286</v>
      </c>
      <c r="C147" s="185" t="s">
        <v>1551</v>
      </c>
    </row>
    <row r="148" spans="1:3">
      <c r="A148" s="200">
        <v>145</v>
      </c>
      <c r="B148" s="185" t="s">
        <v>287</v>
      </c>
      <c r="C148" s="185" t="s">
        <v>1552</v>
      </c>
    </row>
    <row r="149" spans="1:3">
      <c r="A149" s="200">
        <v>146</v>
      </c>
      <c r="B149" s="185" t="s">
        <v>288</v>
      </c>
      <c r="C149" s="185" t="s">
        <v>1553</v>
      </c>
    </row>
    <row r="150" spans="1:3">
      <c r="A150" s="200">
        <v>147</v>
      </c>
      <c r="B150" s="185" t="s">
        <v>289</v>
      </c>
      <c r="C150" s="185" t="s">
        <v>1554</v>
      </c>
    </row>
    <row r="151" spans="1:3">
      <c r="A151" s="200">
        <v>148</v>
      </c>
      <c r="B151" s="185" t="s">
        <v>292</v>
      </c>
      <c r="C151" s="185" t="s">
        <v>1555</v>
      </c>
    </row>
    <row r="152" spans="1:3" ht="42.75">
      <c r="A152" s="200">
        <v>149</v>
      </c>
      <c r="B152" s="185" t="s">
        <v>291</v>
      </c>
      <c r="C152" s="185" t="s">
        <v>1556</v>
      </c>
    </row>
    <row r="153" spans="1:3" ht="28.5">
      <c r="A153" s="200">
        <v>150</v>
      </c>
      <c r="B153" s="185" t="s">
        <v>293</v>
      </c>
      <c r="C153" s="185" t="s">
        <v>1557</v>
      </c>
    </row>
    <row r="154" spans="1:3" ht="42.75">
      <c r="A154" s="200">
        <v>151</v>
      </c>
      <c r="B154" s="185" t="s">
        <v>299</v>
      </c>
      <c r="C154" s="185" t="s">
        <v>1678</v>
      </c>
    </row>
    <row r="155" spans="1:3" ht="71.25">
      <c r="A155" s="200">
        <v>152</v>
      </c>
      <c r="B155" s="185" t="s">
        <v>304</v>
      </c>
      <c r="C155" s="185" t="s">
        <v>1679</v>
      </c>
    </row>
    <row r="156" spans="1:3" ht="42.75">
      <c r="A156" s="200">
        <v>153</v>
      </c>
      <c r="B156" s="185" t="s">
        <v>514</v>
      </c>
      <c r="C156" s="185" t="s">
        <v>1680</v>
      </c>
    </row>
    <row r="157" spans="1:3" ht="42.75">
      <c r="A157" s="200">
        <v>154</v>
      </c>
      <c r="B157" s="185" t="s">
        <v>310</v>
      </c>
      <c r="C157" s="185" t="s">
        <v>1681</v>
      </c>
    </row>
    <row r="158" spans="1:3">
      <c r="A158" s="200">
        <v>155</v>
      </c>
      <c r="B158" s="185" t="s">
        <v>438</v>
      </c>
      <c r="C158" s="185" t="s">
        <v>1558</v>
      </c>
    </row>
    <row r="159" spans="1:3">
      <c r="A159" s="200">
        <v>156</v>
      </c>
      <c r="B159" s="185" t="s">
        <v>276</v>
      </c>
      <c r="C159" s="185" t="s">
        <v>1520</v>
      </c>
    </row>
    <row r="160" spans="1:3">
      <c r="A160" s="200">
        <v>157</v>
      </c>
      <c r="B160" s="187" t="s">
        <v>1337</v>
      </c>
      <c r="C160" s="187" t="s">
        <v>1559</v>
      </c>
    </row>
    <row r="161" spans="1:3">
      <c r="A161" s="200">
        <v>158</v>
      </c>
      <c r="B161" s="190" t="s">
        <v>314</v>
      </c>
      <c r="C161" s="190" t="s">
        <v>1560</v>
      </c>
    </row>
    <row r="162" spans="1:3">
      <c r="A162" s="200">
        <v>159</v>
      </c>
      <c r="B162" s="190" t="s">
        <v>315</v>
      </c>
      <c r="C162" s="190" t="s">
        <v>1561</v>
      </c>
    </row>
    <row r="163" spans="1:3">
      <c r="A163" s="200">
        <v>160</v>
      </c>
      <c r="B163" s="190" t="s">
        <v>316</v>
      </c>
      <c r="C163" s="190" t="s">
        <v>1562</v>
      </c>
    </row>
    <row r="164" spans="1:3">
      <c r="A164" s="200">
        <v>161</v>
      </c>
      <c r="B164" s="187" t="s">
        <v>321</v>
      </c>
      <c r="C164" s="187" t="s">
        <v>1563</v>
      </c>
    </row>
    <row r="165" spans="1:3" ht="25.5">
      <c r="A165" s="200">
        <v>162</v>
      </c>
      <c r="B165" s="188" t="s">
        <v>322</v>
      </c>
      <c r="C165" s="188" t="s">
        <v>1564</v>
      </c>
    </row>
    <row r="166" spans="1:3" ht="25.5">
      <c r="A166" s="200">
        <v>163</v>
      </c>
      <c r="B166" s="188" t="s">
        <v>323</v>
      </c>
      <c r="C166" s="188" t="s">
        <v>1565</v>
      </c>
    </row>
    <row r="167" spans="1:3" ht="63.75">
      <c r="A167" s="200">
        <v>164</v>
      </c>
      <c r="B167" s="187" t="s">
        <v>1808</v>
      </c>
      <c r="C167" s="187" t="s">
        <v>1811</v>
      </c>
    </row>
    <row r="168" spans="1:3" ht="38.25">
      <c r="A168" s="200">
        <v>165</v>
      </c>
      <c r="B168" s="187" t="s">
        <v>1812</v>
      </c>
      <c r="C168" s="187" t="s">
        <v>1815</v>
      </c>
    </row>
    <row r="169" spans="1:3" ht="38.25">
      <c r="A169" s="200">
        <v>166</v>
      </c>
      <c r="B169" s="187" t="s">
        <v>331</v>
      </c>
      <c r="C169" s="187" t="s">
        <v>1682</v>
      </c>
    </row>
    <row r="170" spans="1:3" ht="38.25">
      <c r="A170" s="200">
        <v>167</v>
      </c>
      <c r="B170" s="187" t="s">
        <v>332</v>
      </c>
      <c r="C170" s="187" t="s">
        <v>1683</v>
      </c>
    </row>
    <row r="171" spans="1:3" ht="25.5">
      <c r="A171" s="200">
        <v>168</v>
      </c>
      <c r="B171" s="187" t="s">
        <v>336</v>
      </c>
      <c r="C171" s="187" t="s">
        <v>1684</v>
      </c>
    </row>
    <row r="172" spans="1:3">
      <c r="A172" s="200">
        <v>169</v>
      </c>
      <c r="B172" s="187" t="s">
        <v>337</v>
      </c>
      <c r="C172" s="187" t="s">
        <v>1566</v>
      </c>
    </row>
    <row r="173" spans="1:3">
      <c r="A173" s="200">
        <v>170</v>
      </c>
      <c r="B173" s="188" t="s">
        <v>338</v>
      </c>
      <c r="C173" s="188" t="s">
        <v>1567</v>
      </c>
    </row>
    <row r="174" spans="1:3">
      <c r="A174" s="200">
        <v>171</v>
      </c>
      <c r="B174" s="188" t="s">
        <v>339</v>
      </c>
      <c r="C174" s="188" t="s">
        <v>1568</v>
      </c>
    </row>
    <row r="175" spans="1:3">
      <c r="A175" s="200">
        <v>172</v>
      </c>
      <c r="B175" s="187" t="s">
        <v>340</v>
      </c>
      <c r="C175" s="187" t="s">
        <v>1569</v>
      </c>
    </row>
    <row r="176" spans="1:3">
      <c r="A176" s="200">
        <v>173</v>
      </c>
      <c r="B176" s="190" t="s">
        <v>341</v>
      </c>
      <c r="C176" s="190" t="s">
        <v>1570</v>
      </c>
    </row>
    <row r="177" spans="1:3">
      <c r="A177" s="200">
        <v>174</v>
      </c>
      <c r="B177" s="190" t="s">
        <v>342</v>
      </c>
      <c r="C177" s="190" t="s">
        <v>1571</v>
      </c>
    </row>
    <row r="178" spans="1:3">
      <c r="A178" s="200">
        <v>175</v>
      </c>
      <c r="B178" s="190" t="s">
        <v>343</v>
      </c>
      <c r="C178" s="190" t="s">
        <v>1572</v>
      </c>
    </row>
    <row r="179" spans="1:3">
      <c r="A179" s="200">
        <v>176</v>
      </c>
      <c r="B179" s="191" t="s">
        <v>183</v>
      </c>
      <c r="C179" s="191" t="s">
        <v>1573</v>
      </c>
    </row>
    <row r="180" spans="1:3">
      <c r="A180" s="200">
        <v>177</v>
      </c>
      <c r="B180" s="187" t="s">
        <v>1338</v>
      </c>
      <c r="C180" s="187" t="s">
        <v>1574</v>
      </c>
    </row>
    <row r="181" spans="1:3">
      <c r="A181" s="200">
        <v>178</v>
      </c>
      <c r="B181" s="190" t="s">
        <v>344</v>
      </c>
      <c r="C181" s="190" t="s">
        <v>1575</v>
      </c>
    </row>
    <row r="182" spans="1:3">
      <c r="A182" s="200">
        <v>179</v>
      </c>
      <c r="B182" s="190" t="s">
        <v>345</v>
      </c>
      <c r="C182" s="190" t="s">
        <v>1576</v>
      </c>
    </row>
    <row r="183" spans="1:3">
      <c r="A183" s="200">
        <v>180</v>
      </c>
      <c r="B183" s="190" t="s">
        <v>346</v>
      </c>
      <c r="C183" s="190" t="s">
        <v>1577</v>
      </c>
    </row>
    <row r="184" spans="1:3">
      <c r="A184" s="200">
        <v>181</v>
      </c>
      <c r="B184" s="187" t="s">
        <v>2727</v>
      </c>
      <c r="C184" s="187" t="s">
        <v>1578</v>
      </c>
    </row>
    <row r="185" spans="1:3">
      <c r="A185" s="200">
        <v>182</v>
      </c>
      <c r="B185" s="190" t="s">
        <v>348</v>
      </c>
      <c r="C185" s="190" t="s">
        <v>1579</v>
      </c>
    </row>
    <row r="186" spans="1:3">
      <c r="A186" s="200">
        <v>183</v>
      </c>
      <c r="B186" s="190" t="s">
        <v>349</v>
      </c>
      <c r="C186" s="190" t="s">
        <v>1580</v>
      </c>
    </row>
    <row r="187" spans="1:3">
      <c r="A187" s="200">
        <v>184</v>
      </c>
      <c r="B187" s="190" t="s">
        <v>351</v>
      </c>
      <c r="C187" s="190" t="s">
        <v>1581</v>
      </c>
    </row>
    <row r="188" spans="1:3">
      <c r="A188" s="200">
        <v>185</v>
      </c>
      <c r="B188" s="190" t="s">
        <v>350</v>
      </c>
      <c r="C188" s="190" t="s">
        <v>1582</v>
      </c>
    </row>
    <row r="189" spans="1:3">
      <c r="A189" s="200">
        <v>186</v>
      </c>
      <c r="B189" s="190" t="s">
        <v>352</v>
      </c>
      <c r="C189" s="190" t="s">
        <v>1583</v>
      </c>
    </row>
    <row r="190" spans="1:3">
      <c r="A190" s="200">
        <v>187</v>
      </c>
      <c r="B190" s="190" t="s">
        <v>353</v>
      </c>
      <c r="C190" s="190" t="s">
        <v>1584</v>
      </c>
    </row>
    <row r="191" spans="1:3">
      <c r="A191" s="200">
        <v>188</v>
      </c>
      <c r="B191" s="190" t="s">
        <v>354</v>
      </c>
      <c r="C191" s="190" t="s">
        <v>1585</v>
      </c>
    </row>
    <row r="192" spans="1:3" ht="25.5">
      <c r="A192" s="200">
        <v>189</v>
      </c>
      <c r="B192" s="190" t="s">
        <v>355</v>
      </c>
      <c r="C192" s="190" t="s">
        <v>1586</v>
      </c>
    </row>
    <row r="193" spans="1:3">
      <c r="A193" s="200">
        <v>190</v>
      </c>
      <c r="B193" s="187" t="s">
        <v>360</v>
      </c>
      <c r="C193" s="187" t="s">
        <v>1587</v>
      </c>
    </row>
    <row r="194" spans="1:3" ht="25.5">
      <c r="A194" s="200">
        <v>191</v>
      </c>
      <c r="B194" s="187" t="s">
        <v>361</v>
      </c>
      <c r="C194" s="187" t="s">
        <v>1588</v>
      </c>
    </row>
    <row r="195" spans="1:3" ht="51">
      <c r="A195" s="200">
        <v>192</v>
      </c>
      <c r="B195" s="188" t="s">
        <v>538</v>
      </c>
      <c r="C195" s="188" t="s">
        <v>1685</v>
      </c>
    </row>
    <row r="196" spans="1:3" ht="38.25">
      <c r="A196" s="200">
        <v>193</v>
      </c>
      <c r="B196" s="188" t="s">
        <v>365</v>
      </c>
      <c r="C196" s="188" t="s">
        <v>1686</v>
      </c>
    </row>
    <row r="197" spans="1:3">
      <c r="A197" s="200">
        <v>194</v>
      </c>
      <c r="B197" s="187" t="s">
        <v>369</v>
      </c>
      <c r="C197" s="187" t="s">
        <v>1589</v>
      </c>
    </row>
    <row r="198" spans="1:3">
      <c r="A198" s="200">
        <v>195</v>
      </c>
      <c r="B198" s="190" t="s">
        <v>370</v>
      </c>
      <c r="C198" s="190" t="s">
        <v>1590</v>
      </c>
    </row>
    <row r="199" spans="1:3">
      <c r="A199" s="200">
        <v>196</v>
      </c>
      <c r="B199" s="190" t="s">
        <v>371</v>
      </c>
      <c r="C199" s="190" t="s">
        <v>1591</v>
      </c>
    </row>
    <row r="200" spans="1:3">
      <c r="A200" s="200">
        <v>197</v>
      </c>
      <c r="B200" s="190" t="s">
        <v>372</v>
      </c>
      <c r="C200" s="190" t="s">
        <v>1592</v>
      </c>
    </row>
    <row r="201" spans="1:3">
      <c r="A201" s="200">
        <v>198</v>
      </c>
      <c r="B201" s="190" t="s">
        <v>375</v>
      </c>
      <c r="C201" s="190" t="s">
        <v>1593</v>
      </c>
    </row>
    <row r="202" spans="1:3">
      <c r="A202" s="200">
        <v>199</v>
      </c>
      <c r="B202" s="187" t="s">
        <v>2728</v>
      </c>
      <c r="C202" s="187" t="s">
        <v>1594</v>
      </c>
    </row>
    <row r="203" spans="1:3">
      <c r="A203" s="200">
        <v>200</v>
      </c>
      <c r="B203" s="188" t="s">
        <v>377</v>
      </c>
      <c r="C203" s="188" t="s">
        <v>1595</v>
      </c>
    </row>
    <row r="204" spans="1:3">
      <c r="A204" s="200">
        <v>201</v>
      </c>
      <c r="B204" s="188" t="s">
        <v>378</v>
      </c>
      <c r="C204" s="188" t="s">
        <v>1596</v>
      </c>
    </row>
    <row r="205" spans="1:3">
      <c r="A205" s="200">
        <v>202</v>
      </c>
      <c r="B205" s="187" t="s">
        <v>2729</v>
      </c>
      <c r="C205" s="187" t="s">
        <v>1597</v>
      </c>
    </row>
    <row r="206" spans="1:3">
      <c r="A206" s="200">
        <v>203</v>
      </c>
      <c r="B206" s="190" t="s">
        <v>384</v>
      </c>
      <c r="C206" s="190" t="s">
        <v>1598</v>
      </c>
    </row>
    <row r="207" spans="1:3">
      <c r="A207" s="200">
        <v>204</v>
      </c>
      <c r="B207" s="190" t="s">
        <v>383</v>
      </c>
      <c r="C207" s="190" t="s">
        <v>1599</v>
      </c>
    </row>
    <row r="208" spans="1:3">
      <c r="A208" s="200">
        <v>205</v>
      </c>
      <c r="B208" s="190" t="s">
        <v>385</v>
      </c>
      <c r="C208" s="190" t="s">
        <v>1600</v>
      </c>
    </row>
    <row r="209" spans="1:3">
      <c r="A209" s="200">
        <v>206</v>
      </c>
      <c r="B209" s="187" t="s">
        <v>386</v>
      </c>
      <c r="C209" s="187" t="s">
        <v>1601</v>
      </c>
    </row>
    <row r="210" spans="1:3">
      <c r="A210" s="200">
        <v>207</v>
      </c>
      <c r="B210" s="187" t="s">
        <v>387</v>
      </c>
      <c r="C210" s="187" t="s">
        <v>1602</v>
      </c>
    </row>
    <row r="211" spans="1:3">
      <c r="A211" s="200">
        <v>208</v>
      </c>
      <c r="B211" s="187" t="s">
        <v>390</v>
      </c>
      <c r="C211" s="187" t="s">
        <v>1603</v>
      </c>
    </row>
    <row r="212" spans="1:3">
      <c r="A212" s="200">
        <v>209</v>
      </c>
      <c r="B212" s="188" t="s">
        <v>388</v>
      </c>
      <c r="C212" s="188" t="s">
        <v>1604</v>
      </c>
    </row>
    <row r="213" spans="1:3" ht="25.5">
      <c r="A213" s="200">
        <v>210</v>
      </c>
      <c r="B213" s="188" t="s">
        <v>389</v>
      </c>
      <c r="C213" s="188" t="s">
        <v>1605</v>
      </c>
    </row>
    <row r="214" spans="1:3">
      <c r="A214" s="200">
        <v>211</v>
      </c>
      <c r="B214" s="185" t="s">
        <v>184</v>
      </c>
      <c r="C214" s="185" t="s">
        <v>1606</v>
      </c>
    </row>
    <row r="215" spans="1:3">
      <c r="A215" s="200">
        <v>212</v>
      </c>
      <c r="B215" s="185" t="s">
        <v>392</v>
      </c>
      <c r="C215" s="185" t="s">
        <v>1607</v>
      </c>
    </row>
    <row r="216" spans="1:3">
      <c r="A216" s="200">
        <v>213</v>
      </c>
      <c r="B216" s="185" t="s">
        <v>391</v>
      </c>
      <c r="C216" s="185" t="s">
        <v>1608</v>
      </c>
    </row>
    <row r="217" spans="1:3">
      <c r="A217" s="200">
        <v>214</v>
      </c>
      <c r="B217" s="185" t="s">
        <v>1755</v>
      </c>
      <c r="C217" s="185" t="s">
        <v>1758</v>
      </c>
    </row>
    <row r="218" spans="1:3" ht="28.5">
      <c r="A218" s="200">
        <v>215</v>
      </c>
      <c r="B218" s="185" t="s">
        <v>1341</v>
      </c>
      <c r="C218" s="185" t="s">
        <v>1609</v>
      </c>
    </row>
    <row r="219" spans="1:3" ht="28.5">
      <c r="A219" s="200">
        <v>216</v>
      </c>
      <c r="B219" s="185" t="s">
        <v>1342</v>
      </c>
      <c r="C219" s="185" t="s">
        <v>1687</v>
      </c>
    </row>
    <row r="220" spans="1:3" ht="42.75">
      <c r="A220" s="200">
        <v>217</v>
      </c>
      <c r="B220" s="185" t="s">
        <v>394</v>
      </c>
      <c r="C220" s="185" t="s">
        <v>1688</v>
      </c>
    </row>
    <row r="221" spans="1:3" ht="28.5">
      <c r="A221" s="200">
        <v>218</v>
      </c>
      <c r="B221" s="185" t="s">
        <v>393</v>
      </c>
      <c r="C221" s="185" t="s">
        <v>1610</v>
      </c>
    </row>
    <row r="222" spans="1:3" ht="28.5">
      <c r="A222" s="200">
        <v>219</v>
      </c>
      <c r="B222" s="185" t="s">
        <v>103</v>
      </c>
      <c r="C222" s="185" t="s">
        <v>1689</v>
      </c>
    </row>
    <row r="223" spans="1:3" ht="42.75">
      <c r="A223" s="200">
        <v>220</v>
      </c>
      <c r="B223" s="185" t="s">
        <v>104</v>
      </c>
      <c r="C223" s="185" t="s">
        <v>1690</v>
      </c>
    </row>
    <row r="224" spans="1:3" ht="28.5">
      <c r="A224" s="200">
        <v>221</v>
      </c>
      <c r="B224" s="185" t="s">
        <v>397</v>
      </c>
      <c r="C224" s="185" t="s">
        <v>1611</v>
      </c>
    </row>
    <row r="225" spans="1:3" ht="28.5">
      <c r="A225" s="200">
        <v>222</v>
      </c>
      <c r="B225" s="185" t="s">
        <v>105</v>
      </c>
      <c r="C225" s="185" t="s">
        <v>1691</v>
      </c>
    </row>
    <row r="226" spans="1:3" ht="28.5">
      <c r="A226" s="200">
        <v>223</v>
      </c>
      <c r="B226" s="185" t="s">
        <v>106</v>
      </c>
      <c r="C226" s="185" t="s">
        <v>1692</v>
      </c>
    </row>
    <row r="227" spans="1:3">
      <c r="A227" s="200">
        <v>224</v>
      </c>
      <c r="B227" s="185" t="s">
        <v>185</v>
      </c>
      <c r="C227" s="185" t="s">
        <v>1612</v>
      </c>
    </row>
    <row r="228" spans="1:3">
      <c r="A228" s="200">
        <v>225</v>
      </c>
      <c r="B228" s="185" t="s">
        <v>398</v>
      </c>
      <c r="C228" s="185" t="s">
        <v>1613</v>
      </c>
    </row>
    <row r="229" spans="1:3">
      <c r="A229" s="200">
        <v>226</v>
      </c>
      <c r="B229" s="185" t="s">
        <v>399</v>
      </c>
      <c r="C229" s="185" t="s">
        <v>1614</v>
      </c>
    </row>
    <row r="230" spans="1:3">
      <c r="A230" s="200">
        <v>227</v>
      </c>
      <c r="B230" s="185" t="s">
        <v>400</v>
      </c>
      <c r="C230" s="185" t="s">
        <v>1615</v>
      </c>
    </row>
    <row r="231" spans="1:3">
      <c r="A231" s="200">
        <v>228</v>
      </c>
      <c r="B231" s="185" t="s">
        <v>401</v>
      </c>
      <c r="C231" s="185" t="s">
        <v>1616</v>
      </c>
    </row>
    <row r="232" spans="1:3">
      <c r="A232" s="200">
        <v>229</v>
      </c>
      <c r="B232" s="185" t="s">
        <v>402</v>
      </c>
      <c r="C232" s="185" t="s">
        <v>1617</v>
      </c>
    </row>
    <row r="233" spans="1:3">
      <c r="A233" s="200">
        <v>230</v>
      </c>
      <c r="B233" s="185" t="s">
        <v>403</v>
      </c>
      <c r="C233" s="185" t="s">
        <v>1618</v>
      </c>
    </row>
    <row r="234" spans="1:3">
      <c r="A234" s="200">
        <v>231</v>
      </c>
      <c r="B234" s="185" t="s">
        <v>404</v>
      </c>
      <c r="C234" s="185" t="s">
        <v>1619</v>
      </c>
    </row>
    <row r="235" spans="1:3">
      <c r="A235" s="200">
        <v>232</v>
      </c>
      <c r="B235" s="185" t="s">
        <v>399</v>
      </c>
      <c r="C235" s="185" t="s">
        <v>1614</v>
      </c>
    </row>
    <row r="236" spans="1:3">
      <c r="A236" s="200">
        <v>233</v>
      </c>
      <c r="B236" s="185" t="s">
        <v>400</v>
      </c>
      <c r="C236" s="185" t="s">
        <v>1615</v>
      </c>
    </row>
    <row r="237" spans="1:3">
      <c r="A237" s="200">
        <v>234</v>
      </c>
      <c r="B237" s="185" t="s">
        <v>401</v>
      </c>
      <c r="C237" s="185" t="s">
        <v>1616</v>
      </c>
    </row>
    <row r="238" spans="1:3">
      <c r="A238" s="200">
        <v>235</v>
      </c>
      <c r="B238" s="185" t="s">
        <v>402</v>
      </c>
      <c r="C238" s="185" t="s">
        <v>1617</v>
      </c>
    </row>
    <row r="239" spans="1:3">
      <c r="A239" s="200">
        <v>236</v>
      </c>
      <c r="B239" s="185" t="s">
        <v>405</v>
      </c>
      <c r="C239" s="185" t="s">
        <v>1620</v>
      </c>
    </row>
    <row r="240" spans="1:3">
      <c r="A240" s="200">
        <v>237</v>
      </c>
      <c r="B240" s="185" t="s">
        <v>406</v>
      </c>
      <c r="C240" s="185" t="s">
        <v>1621</v>
      </c>
    </row>
    <row r="241" spans="1:3">
      <c r="A241" s="200">
        <v>238</v>
      </c>
      <c r="B241" s="185" t="s">
        <v>399</v>
      </c>
      <c r="C241" s="185" t="s">
        <v>1614</v>
      </c>
    </row>
    <row r="242" spans="1:3">
      <c r="A242" s="200">
        <v>239</v>
      </c>
      <c r="B242" s="185" t="s">
        <v>400</v>
      </c>
      <c r="C242" s="185" t="s">
        <v>1615</v>
      </c>
    </row>
    <row r="243" spans="1:3">
      <c r="A243" s="200">
        <v>240</v>
      </c>
      <c r="B243" s="185" t="s">
        <v>402</v>
      </c>
      <c r="C243" s="185" t="s">
        <v>1617</v>
      </c>
    </row>
    <row r="244" spans="1:3">
      <c r="A244" s="200">
        <v>241</v>
      </c>
      <c r="B244" s="185" t="s">
        <v>407</v>
      </c>
      <c r="C244" s="185" t="s">
        <v>1622</v>
      </c>
    </row>
    <row r="245" spans="1:3">
      <c r="A245" s="200">
        <v>242</v>
      </c>
      <c r="B245" s="185" t="s">
        <v>408</v>
      </c>
      <c r="C245" s="185" t="s">
        <v>1623</v>
      </c>
    </row>
    <row r="246" spans="1:3">
      <c r="A246" s="200">
        <v>243</v>
      </c>
      <c r="B246" s="185" t="s">
        <v>409</v>
      </c>
      <c r="C246" s="185" t="s">
        <v>1624</v>
      </c>
    </row>
    <row r="247" spans="1:3">
      <c r="A247" s="200">
        <v>244</v>
      </c>
      <c r="B247" s="185" t="s">
        <v>410</v>
      </c>
      <c r="C247" s="185" t="s">
        <v>1625</v>
      </c>
    </row>
    <row r="248" spans="1:3">
      <c r="A248" s="200">
        <v>245</v>
      </c>
      <c r="B248" s="185" t="s">
        <v>411</v>
      </c>
      <c r="C248" s="185" t="s">
        <v>1626</v>
      </c>
    </row>
    <row r="249" spans="1:3">
      <c r="A249" s="200">
        <v>246</v>
      </c>
      <c r="B249" s="185" t="s">
        <v>412</v>
      </c>
      <c r="C249" s="185" t="s">
        <v>1627</v>
      </c>
    </row>
    <row r="250" spans="1:3">
      <c r="A250" s="200">
        <v>247</v>
      </c>
      <c r="B250" s="185" t="s">
        <v>413</v>
      </c>
      <c r="C250" s="185" t="s">
        <v>1615</v>
      </c>
    </row>
    <row r="251" spans="1:3">
      <c r="A251" s="200">
        <v>248</v>
      </c>
      <c r="B251" s="185" t="s">
        <v>399</v>
      </c>
      <c r="C251" s="185" t="s">
        <v>1614</v>
      </c>
    </row>
    <row r="252" spans="1:3">
      <c r="A252" s="200">
        <v>249</v>
      </c>
      <c r="B252" s="185" t="s">
        <v>414</v>
      </c>
      <c r="C252" s="185" t="s">
        <v>1617</v>
      </c>
    </row>
    <row r="253" spans="1:3" ht="28.5">
      <c r="A253" s="200">
        <v>250</v>
      </c>
      <c r="B253" s="185" t="s">
        <v>415</v>
      </c>
      <c r="C253" s="185" t="s">
        <v>1628</v>
      </c>
    </row>
    <row r="254" spans="1:3" ht="42.75">
      <c r="A254" s="200">
        <v>251</v>
      </c>
      <c r="B254" s="185" t="s">
        <v>107</v>
      </c>
      <c r="C254" s="185" t="s">
        <v>1693</v>
      </c>
    </row>
    <row r="255" spans="1:3">
      <c r="A255" s="200">
        <v>252</v>
      </c>
      <c r="B255" s="185" t="s">
        <v>1803</v>
      </c>
      <c r="C255" s="185" t="s">
        <v>1828</v>
      </c>
    </row>
    <row r="256" spans="1:3">
      <c r="A256" s="200">
        <v>253</v>
      </c>
      <c r="B256" s="185" t="s">
        <v>186</v>
      </c>
      <c r="C256" s="185" t="s">
        <v>1629</v>
      </c>
    </row>
    <row r="257" spans="1:3">
      <c r="A257" s="200">
        <v>254</v>
      </c>
      <c r="B257" s="185" t="s">
        <v>416</v>
      </c>
      <c r="C257" s="185" t="s">
        <v>1630</v>
      </c>
    </row>
    <row r="258" spans="1:3">
      <c r="A258" s="200">
        <v>255</v>
      </c>
      <c r="B258" s="185" t="s">
        <v>417</v>
      </c>
      <c r="C258" s="185" t="s">
        <v>1631</v>
      </c>
    </row>
    <row r="259" spans="1:3">
      <c r="A259" s="200">
        <v>256</v>
      </c>
      <c r="B259" s="185" t="s">
        <v>418</v>
      </c>
      <c r="C259" s="185" t="s">
        <v>1632</v>
      </c>
    </row>
    <row r="260" spans="1:3">
      <c r="A260" s="200">
        <v>257</v>
      </c>
      <c r="B260" s="185" t="s">
        <v>419</v>
      </c>
      <c r="C260" s="185" t="s">
        <v>1633</v>
      </c>
    </row>
    <row r="261" spans="1:3">
      <c r="A261" s="200">
        <v>258</v>
      </c>
      <c r="B261" s="185" t="s">
        <v>420</v>
      </c>
      <c r="C261" s="185" t="s">
        <v>1634</v>
      </c>
    </row>
    <row r="262" spans="1:3">
      <c r="A262" s="200">
        <v>259</v>
      </c>
      <c r="B262" s="185" t="s">
        <v>421</v>
      </c>
      <c r="C262" s="185" t="s">
        <v>1635</v>
      </c>
    </row>
    <row r="263" spans="1:3">
      <c r="A263" s="200">
        <v>260</v>
      </c>
      <c r="B263" s="185" t="s">
        <v>422</v>
      </c>
      <c r="C263" s="185" t="s">
        <v>1636</v>
      </c>
    </row>
    <row r="264" spans="1:3">
      <c r="A264" s="200">
        <v>261</v>
      </c>
      <c r="B264" s="185" t="s">
        <v>423</v>
      </c>
      <c r="C264" s="185" t="s">
        <v>1637</v>
      </c>
    </row>
    <row r="265" spans="1:3">
      <c r="A265" s="200">
        <v>262</v>
      </c>
      <c r="B265" s="185" t="s">
        <v>424</v>
      </c>
      <c r="C265" s="185" t="s">
        <v>1638</v>
      </c>
    </row>
    <row r="266" spans="1:3">
      <c r="A266" s="200">
        <v>263</v>
      </c>
      <c r="B266" s="185" t="s">
        <v>425</v>
      </c>
      <c r="C266" s="185" t="s">
        <v>1639</v>
      </c>
    </row>
    <row r="267" spans="1:3" ht="28.5">
      <c r="A267" s="200">
        <v>264</v>
      </c>
      <c r="B267" s="185" t="s">
        <v>426</v>
      </c>
      <c r="C267" s="185" t="s">
        <v>1640</v>
      </c>
    </row>
    <row r="268" spans="1:3" ht="28.5">
      <c r="A268" s="200">
        <v>265</v>
      </c>
      <c r="B268" s="185" t="s">
        <v>427</v>
      </c>
      <c r="C268" s="185" t="s">
        <v>1641</v>
      </c>
    </row>
    <row r="269" spans="1:3" ht="28.5">
      <c r="A269" s="200">
        <v>266</v>
      </c>
      <c r="B269" s="185" t="s">
        <v>428</v>
      </c>
      <c r="C269" s="185" t="s">
        <v>1642</v>
      </c>
    </row>
    <row r="270" spans="1:3">
      <c r="A270" s="200">
        <v>267</v>
      </c>
      <c r="B270" s="185" t="s">
        <v>429</v>
      </c>
      <c r="C270" s="185" t="s">
        <v>1643</v>
      </c>
    </row>
    <row r="271" spans="1:3" ht="42.75">
      <c r="A271" s="200">
        <v>268</v>
      </c>
      <c r="B271" s="185" t="s">
        <v>264</v>
      </c>
      <c r="C271" s="185" t="s">
        <v>1694</v>
      </c>
    </row>
    <row r="272" spans="1:3" ht="42.75">
      <c r="A272" s="200">
        <v>269</v>
      </c>
      <c r="B272" s="185" t="s">
        <v>335</v>
      </c>
      <c r="C272" s="185" t="s">
        <v>1695</v>
      </c>
    </row>
    <row r="273" spans="1:3" ht="42.75">
      <c r="A273" s="201">
        <v>270</v>
      </c>
      <c r="B273" s="186" t="s">
        <v>537</v>
      </c>
      <c r="C273" s="186" t="s">
        <v>1644</v>
      </c>
    </row>
    <row r="274" spans="1:3">
      <c r="B274" s="92"/>
    </row>
    <row r="275" spans="1:3" ht="21">
      <c r="A275" s="195" t="s">
        <v>2721</v>
      </c>
      <c r="B275" s="352"/>
      <c r="C275" s="196"/>
    </row>
    <row r="276" spans="1:3">
      <c r="A276" s="321">
        <v>1</v>
      </c>
      <c r="B276" s="322" t="s">
        <v>456</v>
      </c>
      <c r="C276" s="323" t="s">
        <v>1358</v>
      </c>
    </row>
    <row r="277" spans="1:3">
      <c r="A277" s="324">
        <v>2</v>
      </c>
      <c r="B277" s="325" t="s">
        <v>457</v>
      </c>
      <c r="C277" s="326" t="s">
        <v>1359</v>
      </c>
    </row>
    <row r="278" spans="1:3">
      <c r="A278" s="324">
        <v>3</v>
      </c>
      <c r="B278" s="325" t="s">
        <v>458</v>
      </c>
      <c r="C278" s="326" t="s">
        <v>1360</v>
      </c>
    </row>
    <row r="279" spans="1:3">
      <c r="A279" s="324">
        <v>4</v>
      </c>
      <c r="B279" s="325"/>
      <c r="C279" s="326"/>
    </row>
    <row r="280" spans="1:3">
      <c r="A280" s="324">
        <v>5</v>
      </c>
      <c r="B280" s="325" t="s">
        <v>459</v>
      </c>
      <c r="C280" s="326" t="s">
        <v>1361</v>
      </c>
    </row>
    <row r="281" spans="1:3">
      <c r="A281" s="324">
        <v>6</v>
      </c>
      <c r="B281" s="325" t="s">
        <v>460</v>
      </c>
      <c r="C281" s="326" t="s">
        <v>1362</v>
      </c>
    </row>
    <row r="282" spans="1:3">
      <c r="A282" s="324">
        <v>7</v>
      </c>
      <c r="B282" s="325" t="s">
        <v>461</v>
      </c>
      <c r="C282" s="326" t="s">
        <v>1363</v>
      </c>
    </row>
    <row r="283" spans="1:3">
      <c r="A283" s="324">
        <v>8</v>
      </c>
      <c r="B283" s="325" t="s">
        <v>462</v>
      </c>
      <c r="C283" s="326" t="s">
        <v>1364</v>
      </c>
    </row>
    <row r="284" spans="1:3">
      <c r="A284" s="324">
        <v>9</v>
      </c>
      <c r="B284" s="325" t="s">
        <v>463</v>
      </c>
      <c r="C284" s="326" t="s">
        <v>1365</v>
      </c>
    </row>
    <row r="285" spans="1:3">
      <c r="A285" s="324">
        <v>10</v>
      </c>
      <c r="B285" s="325"/>
      <c r="C285" s="326"/>
    </row>
    <row r="286" spans="1:3">
      <c r="A286" s="324">
        <v>11</v>
      </c>
      <c r="B286" s="325" t="s">
        <v>464</v>
      </c>
      <c r="C286" s="326" t="s">
        <v>464</v>
      </c>
    </row>
    <row r="287" spans="1:3">
      <c r="A287" s="324">
        <v>12</v>
      </c>
      <c r="B287" s="325" t="s">
        <v>466</v>
      </c>
      <c r="C287" s="326" t="s">
        <v>466</v>
      </c>
    </row>
    <row r="288" spans="1:3">
      <c r="A288" s="324">
        <v>13</v>
      </c>
      <c r="B288" s="325" t="s">
        <v>467</v>
      </c>
      <c r="C288" s="326" t="s">
        <v>1366</v>
      </c>
    </row>
    <row r="289" spans="1:3">
      <c r="A289" s="324">
        <v>14</v>
      </c>
      <c r="B289" s="325" t="s">
        <v>468</v>
      </c>
      <c r="C289" s="326" t="s">
        <v>1367</v>
      </c>
    </row>
    <row r="290" spans="1:3">
      <c r="A290" s="324">
        <v>15</v>
      </c>
      <c r="B290" s="325" t="s">
        <v>465</v>
      </c>
      <c r="C290" s="326" t="s">
        <v>465</v>
      </c>
    </row>
    <row r="291" spans="1:3">
      <c r="A291" s="324">
        <v>16</v>
      </c>
      <c r="B291" s="325"/>
      <c r="C291" s="326"/>
    </row>
    <row r="292" spans="1:3">
      <c r="A292" s="324">
        <v>17</v>
      </c>
      <c r="B292" s="325" t="s">
        <v>115</v>
      </c>
      <c r="C292" s="326" t="s">
        <v>115</v>
      </c>
    </row>
    <row r="293" spans="1:3">
      <c r="A293" s="324">
        <v>18</v>
      </c>
      <c r="B293" s="325" t="s">
        <v>116</v>
      </c>
      <c r="C293" s="326" t="s">
        <v>1368</v>
      </c>
    </row>
    <row r="294" spans="1:3">
      <c r="A294" s="324">
        <v>19</v>
      </c>
      <c r="B294" s="325"/>
      <c r="C294" s="326"/>
    </row>
    <row r="295" spans="1:3">
      <c r="A295" s="324">
        <v>20</v>
      </c>
      <c r="B295" s="325" t="s">
        <v>130</v>
      </c>
      <c r="C295" s="326" t="s">
        <v>791</v>
      </c>
    </row>
    <row r="296" spans="1:3">
      <c r="A296" s="324">
        <v>21</v>
      </c>
      <c r="B296" s="325" t="s">
        <v>131</v>
      </c>
      <c r="C296" s="326" t="s">
        <v>1369</v>
      </c>
    </row>
    <row r="297" spans="1:3">
      <c r="A297" s="324">
        <v>22</v>
      </c>
      <c r="B297" s="325" t="s">
        <v>211</v>
      </c>
      <c r="C297" s="326" t="s">
        <v>1370</v>
      </c>
    </row>
    <row r="298" spans="1:3">
      <c r="A298" s="324">
        <v>23</v>
      </c>
      <c r="B298" s="325" t="s">
        <v>213</v>
      </c>
      <c r="C298" s="326" t="s">
        <v>1371</v>
      </c>
    </row>
    <row r="299" spans="1:3">
      <c r="A299" s="324">
        <v>24</v>
      </c>
      <c r="B299" s="325" t="s">
        <v>214</v>
      </c>
      <c r="C299" s="326" t="s">
        <v>1372</v>
      </c>
    </row>
    <row r="300" spans="1:3">
      <c r="A300" s="324">
        <v>25</v>
      </c>
      <c r="B300" s="325" t="s">
        <v>215</v>
      </c>
      <c r="C300" s="326" t="s">
        <v>1373</v>
      </c>
    </row>
    <row r="301" spans="1:3">
      <c r="A301" s="324">
        <v>26</v>
      </c>
      <c r="B301" s="325"/>
      <c r="C301" s="326"/>
    </row>
    <row r="302" spans="1:3">
      <c r="A302" s="324">
        <v>27</v>
      </c>
      <c r="B302" s="325" t="s">
        <v>217</v>
      </c>
      <c r="C302" s="326" t="s">
        <v>217</v>
      </c>
    </row>
    <row r="303" spans="1:3">
      <c r="A303" s="324">
        <v>28</v>
      </c>
      <c r="B303" s="325" t="s">
        <v>218</v>
      </c>
      <c r="C303" s="326" t="s">
        <v>218</v>
      </c>
    </row>
    <row r="304" spans="1:3">
      <c r="A304" s="324">
        <v>29</v>
      </c>
      <c r="B304" s="325" t="s">
        <v>216</v>
      </c>
      <c r="C304" s="326" t="s">
        <v>1374</v>
      </c>
    </row>
    <row r="305" spans="1:3">
      <c r="A305" s="324">
        <v>30</v>
      </c>
      <c r="B305" s="325"/>
      <c r="C305" s="326"/>
    </row>
    <row r="306" spans="1:3">
      <c r="A306" s="324">
        <v>31</v>
      </c>
      <c r="B306" s="325" t="s">
        <v>219</v>
      </c>
      <c r="C306" s="326" t="s">
        <v>791</v>
      </c>
    </row>
    <row r="307" spans="1:3">
      <c r="A307" s="324">
        <v>32</v>
      </c>
      <c r="B307" s="325" t="s">
        <v>220</v>
      </c>
      <c r="C307" s="326" t="s">
        <v>1375</v>
      </c>
    </row>
    <row r="308" spans="1:3">
      <c r="A308" s="324">
        <v>33</v>
      </c>
      <c r="B308" s="325" t="s">
        <v>221</v>
      </c>
      <c r="C308" s="326" t="s">
        <v>1376</v>
      </c>
    </row>
    <row r="309" spans="1:3">
      <c r="A309" s="324">
        <v>34</v>
      </c>
      <c r="B309" s="325"/>
      <c r="C309" s="326"/>
    </row>
    <row r="310" spans="1:3">
      <c r="A310" s="324">
        <v>35</v>
      </c>
      <c r="B310" s="325" t="s">
        <v>223</v>
      </c>
      <c r="C310" s="326" t="s">
        <v>1377</v>
      </c>
    </row>
    <row r="311" spans="1:3">
      <c r="A311" s="324">
        <v>36</v>
      </c>
      <c r="B311" s="325" t="s">
        <v>224</v>
      </c>
      <c r="C311" s="326" t="s">
        <v>1378</v>
      </c>
    </row>
    <row r="312" spans="1:3">
      <c r="A312" s="324">
        <v>37</v>
      </c>
      <c r="B312" s="325"/>
      <c r="C312" s="326"/>
    </row>
    <row r="313" spans="1:3">
      <c r="A313" s="324">
        <v>38</v>
      </c>
      <c r="B313" s="325" t="s">
        <v>225</v>
      </c>
      <c r="C313" s="326" t="s">
        <v>225</v>
      </c>
    </row>
    <row r="314" spans="1:3">
      <c r="A314" s="324">
        <v>39</v>
      </c>
      <c r="B314" s="325" t="s">
        <v>226</v>
      </c>
      <c r="C314" s="326" t="s">
        <v>174</v>
      </c>
    </row>
    <row r="315" spans="1:3">
      <c r="A315" s="324">
        <v>40</v>
      </c>
      <c r="B315" s="325" t="s">
        <v>227</v>
      </c>
      <c r="C315" s="326" t="s">
        <v>227</v>
      </c>
    </row>
    <row r="316" spans="1:3">
      <c r="A316" s="324">
        <v>41</v>
      </c>
      <c r="B316" s="325"/>
      <c r="C316" s="326"/>
    </row>
    <row r="317" spans="1:3">
      <c r="A317" s="324">
        <v>42</v>
      </c>
      <c r="B317" s="325" t="s">
        <v>228</v>
      </c>
      <c r="C317" s="326" t="s">
        <v>1379</v>
      </c>
    </row>
    <row r="318" spans="1:3">
      <c r="A318" s="324">
        <v>43</v>
      </c>
      <c r="B318" s="325" t="s">
        <v>229</v>
      </c>
      <c r="C318" s="326" t="s">
        <v>1380</v>
      </c>
    </row>
    <row r="319" spans="1:3">
      <c r="A319" s="324">
        <v>44</v>
      </c>
      <c r="B319" s="325" t="s">
        <v>230</v>
      </c>
      <c r="C319" s="326" t="s">
        <v>1381</v>
      </c>
    </row>
    <row r="320" spans="1:3">
      <c r="A320" s="324">
        <v>45</v>
      </c>
      <c r="B320" s="325" t="s">
        <v>231</v>
      </c>
      <c r="C320" s="326" t="s">
        <v>1382</v>
      </c>
    </row>
    <row r="321" spans="1:3">
      <c r="A321" s="324">
        <v>46</v>
      </c>
      <c r="B321" s="325"/>
      <c r="C321" s="326"/>
    </row>
    <row r="322" spans="1:3">
      <c r="A322" s="324">
        <v>47</v>
      </c>
      <c r="B322" s="325" t="s">
        <v>149</v>
      </c>
      <c r="C322" s="326" t="s">
        <v>1383</v>
      </c>
    </row>
    <row r="323" spans="1:3">
      <c r="A323" s="324">
        <v>48</v>
      </c>
      <c r="B323" s="325" t="s">
        <v>150</v>
      </c>
      <c r="C323" s="326" t="s">
        <v>1384</v>
      </c>
    </row>
    <row r="324" spans="1:3">
      <c r="A324" s="324">
        <v>49</v>
      </c>
      <c r="B324" s="325" t="s">
        <v>151</v>
      </c>
      <c r="C324" s="326" t="s">
        <v>1385</v>
      </c>
    </row>
    <row r="325" spans="1:3">
      <c r="A325" s="324">
        <v>50</v>
      </c>
      <c r="B325" s="325"/>
      <c r="C325" s="326"/>
    </row>
    <row r="326" spans="1:3">
      <c r="A326" s="324">
        <v>51</v>
      </c>
      <c r="B326" s="325" t="s">
        <v>234</v>
      </c>
      <c r="C326" s="326" t="s">
        <v>1386</v>
      </c>
    </row>
    <row r="327" spans="1:3">
      <c r="A327" s="324">
        <v>52</v>
      </c>
      <c r="B327" s="325" t="s">
        <v>233</v>
      </c>
      <c r="C327" s="326" t="s">
        <v>1387</v>
      </c>
    </row>
    <row r="328" spans="1:3">
      <c r="A328" s="324">
        <v>53</v>
      </c>
      <c r="B328" s="325"/>
      <c r="C328" s="326"/>
    </row>
    <row r="329" spans="1:3">
      <c r="A329" s="324">
        <v>54</v>
      </c>
      <c r="B329" s="325" t="s">
        <v>238</v>
      </c>
      <c r="C329" s="326" t="s">
        <v>238</v>
      </c>
    </row>
    <row r="330" spans="1:3">
      <c r="A330" s="324">
        <v>55</v>
      </c>
      <c r="B330" s="325" t="s">
        <v>239</v>
      </c>
      <c r="C330" s="326" t="s">
        <v>239</v>
      </c>
    </row>
    <row r="331" spans="1:3">
      <c r="A331" s="324">
        <v>56</v>
      </c>
      <c r="B331" s="325" t="s">
        <v>240</v>
      </c>
      <c r="C331" s="326" t="s">
        <v>240</v>
      </c>
    </row>
    <row r="332" spans="1:3">
      <c r="A332" s="324">
        <v>57</v>
      </c>
      <c r="B332" s="325" t="s">
        <v>241</v>
      </c>
      <c r="C332" s="326" t="s">
        <v>241</v>
      </c>
    </row>
    <row r="333" spans="1:3">
      <c r="A333" s="324">
        <v>58</v>
      </c>
      <c r="B333" s="325" t="s">
        <v>242</v>
      </c>
      <c r="C333" s="326" t="s">
        <v>242</v>
      </c>
    </row>
    <row r="334" spans="1:3">
      <c r="A334" s="324">
        <v>59</v>
      </c>
      <c r="B334" s="325" t="s">
        <v>243</v>
      </c>
      <c r="C334" s="326" t="s">
        <v>1388</v>
      </c>
    </row>
    <row r="335" spans="1:3">
      <c r="A335" s="324">
        <v>60</v>
      </c>
      <c r="B335" s="325"/>
      <c r="C335" s="326"/>
    </row>
    <row r="336" spans="1:3">
      <c r="A336" s="324">
        <v>61</v>
      </c>
      <c r="B336" s="325" t="s">
        <v>244</v>
      </c>
      <c r="C336" s="326" t="s">
        <v>1744</v>
      </c>
    </row>
    <row r="337" spans="1:3">
      <c r="A337" s="324">
        <v>62</v>
      </c>
      <c r="B337" s="325" t="s">
        <v>245</v>
      </c>
      <c r="C337" s="326" t="s">
        <v>1389</v>
      </c>
    </row>
    <row r="338" spans="1:3">
      <c r="A338" s="324">
        <v>63</v>
      </c>
      <c r="B338" s="325" t="s">
        <v>246</v>
      </c>
      <c r="C338" s="326" t="s">
        <v>1390</v>
      </c>
    </row>
    <row r="339" spans="1:3">
      <c r="A339" s="324">
        <v>64</v>
      </c>
      <c r="B339" s="325" t="s">
        <v>247</v>
      </c>
      <c r="C339" s="326" t="s">
        <v>1391</v>
      </c>
    </row>
    <row r="340" spans="1:3">
      <c r="A340" s="324">
        <v>65</v>
      </c>
      <c r="B340" s="325"/>
      <c r="C340" s="326"/>
    </row>
    <row r="341" spans="1:3">
      <c r="A341" s="324">
        <v>66</v>
      </c>
      <c r="B341" s="325" t="s">
        <v>163</v>
      </c>
      <c r="C341" s="326" t="s">
        <v>1377</v>
      </c>
    </row>
    <row r="342" spans="1:3">
      <c r="A342" s="324">
        <v>67</v>
      </c>
      <c r="B342" s="325" t="s">
        <v>164</v>
      </c>
      <c r="C342" s="326" t="s">
        <v>1392</v>
      </c>
    </row>
    <row r="343" spans="1:3">
      <c r="A343" s="324">
        <v>68</v>
      </c>
      <c r="B343" s="325" t="s">
        <v>165</v>
      </c>
      <c r="C343" s="326" t="s">
        <v>1393</v>
      </c>
    </row>
    <row r="344" spans="1:3">
      <c r="A344" s="324">
        <v>69</v>
      </c>
      <c r="B344" s="325"/>
      <c r="C344" s="326"/>
    </row>
    <row r="345" spans="1:3">
      <c r="A345" s="324">
        <v>70</v>
      </c>
      <c r="B345" s="325" t="s">
        <v>187</v>
      </c>
      <c r="C345" s="326" t="s">
        <v>187</v>
      </c>
    </row>
    <row r="346" spans="1:3">
      <c r="A346" s="324">
        <v>71</v>
      </c>
      <c r="B346" s="325" t="s">
        <v>190</v>
      </c>
      <c r="C346" s="326" t="s">
        <v>190</v>
      </c>
    </row>
    <row r="347" spans="1:3">
      <c r="A347" s="324">
        <v>72</v>
      </c>
      <c r="B347" s="325" t="s">
        <v>188</v>
      </c>
      <c r="C347" s="326" t="s">
        <v>188</v>
      </c>
    </row>
    <row r="348" spans="1:3">
      <c r="A348" s="324">
        <v>73</v>
      </c>
      <c r="B348" s="325" t="s">
        <v>189</v>
      </c>
      <c r="C348" s="326" t="s">
        <v>189</v>
      </c>
    </row>
    <row r="349" spans="1:3">
      <c r="A349" s="324">
        <v>74</v>
      </c>
      <c r="B349" s="325"/>
      <c r="C349" s="326"/>
    </row>
    <row r="350" spans="1:3">
      <c r="A350" s="324">
        <v>75</v>
      </c>
      <c r="B350" s="325" t="s">
        <v>191</v>
      </c>
      <c r="C350" s="326" t="s">
        <v>1394</v>
      </c>
    </row>
    <row r="351" spans="1:3">
      <c r="A351" s="324">
        <v>76</v>
      </c>
      <c r="B351" s="325" t="s">
        <v>192</v>
      </c>
      <c r="C351" s="326" t="s">
        <v>1395</v>
      </c>
    </row>
    <row r="352" spans="1:3">
      <c r="A352" s="324">
        <v>77</v>
      </c>
      <c r="B352" s="325" t="s">
        <v>131</v>
      </c>
      <c r="C352" s="326" t="s">
        <v>1369</v>
      </c>
    </row>
    <row r="353" spans="1:3">
      <c r="A353" s="324">
        <v>78</v>
      </c>
      <c r="B353" s="325"/>
      <c r="C353" s="326"/>
    </row>
    <row r="354" spans="1:3">
      <c r="A354" s="324">
        <v>79</v>
      </c>
      <c r="B354" s="325" t="s">
        <v>195</v>
      </c>
      <c r="C354" s="326" t="s">
        <v>1396</v>
      </c>
    </row>
    <row r="355" spans="1:3">
      <c r="A355" s="324">
        <v>80</v>
      </c>
      <c r="B355" s="325" t="s">
        <v>196</v>
      </c>
      <c r="C355" s="326" t="s">
        <v>1397</v>
      </c>
    </row>
    <row r="356" spans="1:3">
      <c r="A356" s="324">
        <v>81</v>
      </c>
      <c r="B356" s="325" t="s">
        <v>131</v>
      </c>
      <c r="C356" s="326" t="s">
        <v>1369</v>
      </c>
    </row>
    <row r="357" spans="1:3">
      <c r="A357" s="324">
        <v>82</v>
      </c>
      <c r="B357" s="325"/>
      <c r="C357" s="326"/>
    </row>
    <row r="358" spans="1:3">
      <c r="A358" s="324">
        <v>83</v>
      </c>
      <c r="B358" s="325" t="s">
        <v>201</v>
      </c>
      <c r="C358" s="326" t="s">
        <v>1398</v>
      </c>
    </row>
    <row r="359" spans="1:3">
      <c r="A359" s="324">
        <v>84</v>
      </c>
      <c r="B359" s="325" t="s">
        <v>202</v>
      </c>
      <c r="C359" s="326" t="s">
        <v>1399</v>
      </c>
    </row>
    <row r="360" spans="1:3">
      <c r="A360" s="324">
        <v>85</v>
      </c>
      <c r="B360" s="325"/>
      <c r="C360" s="326"/>
    </row>
    <row r="361" spans="1:3">
      <c r="A361" s="324">
        <v>86</v>
      </c>
      <c r="B361" s="325" t="s">
        <v>204</v>
      </c>
      <c r="C361" s="326" t="s">
        <v>1400</v>
      </c>
    </row>
    <row r="362" spans="1:3">
      <c r="A362" s="324">
        <v>87</v>
      </c>
      <c r="B362" s="325" t="s">
        <v>205</v>
      </c>
      <c r="C362" s="326" t="s">
        <v>1401</v>
      </c>
    </row>
    <row r="363" spans="1:3">
      <c r="A363" s="324">
        <v>88</v>
      </c>
      <c r="B363" s="325" t="s">
        <v>206</v>
      </c>
      <c r="C363" s="326" t="s">
        <v>1402</v>
      </c>
    </row>
    <row r="364" spans="1:3">
      <c r="A364" s="324">
        <v>89</v>
      </c>
      <c r="B364" s="325"/>
      <c r="C364" s="326"/>
    </row>
    <row r="365" spans="1:3">
      <c r="A365" s="324">
        <v>90</v>
      </c>
      <c r="B365" s="325" t="s">
        <v>207</v>
      </c>
      <c r="C365" s="326" t="s">
        <v>1403</v>
      </c>
    </row>
    <row r="366" spans="1:3">
      <c r="A366" s="324">
        <v>91</v>
      </c>
      <c r="B366" s="325" t="s">
        <v>208</v>
      </c>
      <c r="C366" s="326" t="s">
        <v>1404</v>
      </c>
    </row>
    <row r="367" spans="1:3">
      <c r="A367" s="324">
        <v>92</v>
      </c>
      <c r="B367" s="325" t="s">
        <v>200</v>
      </c>
      <c r="C367" s="326" t="s">
        <v>1405</v>
      </c>
    </row>
    <row r="368" spans="1:3">
      <c r="A368" s="324">
        <v>93</v>
      </c>
      <c r="B368" s="327"/>
      <c r="C368" s="326"/>
    </row>
    <row r="369" spans="1:3">
      <c r="A369" s="324">
        <v>94</v>
      </c>
      <c r="B369" s="325" t="s">
        <v>257</v>
      </c>
      <c r="C369" s="326" t="s">
        <v>257</v>
      </c>
    </row>
    <row r="370" spans="1:3">
      <c r="A370" s="324">
        <v>95</v>
      </c>
      <c r="B370" s="325" t="s">
        <v>258</v>
      </c>
      <c r="C370" s="326" t="s">
        <v>258</v>
      </c>
    </row>
    <row r="371" spans="1:3">
      <c r="A371" s="324">
        <v>96</v>
      </c>
      <c r="B371" s="325"/>
      <c r="C371" s="326"/>
    </row>
    <row r="372" spans="1:3">
      <c r="A372" s="324">
        <v>97</v>
      </c>
      <c r="B372" s="325" t="s">
        <v>250</v>
      </c>
      <c r="C372" s="326" t="s">
        <v>250</v>
      </c>
    </row>
    <row r="373" spans="1:3">
      <c r="A373" s="324">
        <v>98</v>
      </c>
      <c r="B373" s="325" t="s">
        <v>503</v>
      </c>
      <c r="C373" s="326" t="s">
        <v>503</v>
      </c>
    </row>
    <row r="374" spans="1:3">
      <c r="A374" s="324">
        <v>99</v>
      </c>
      <c r="B374" s="325"/>
      <c r="C374" s="326"/>
    </row>
    <row r="375" spans="1:3">
      <c r="A375" s="324">
        <v>100</v>
      </c>
      <c r="B375" s="325" t="s">
        <v>251</v>
      </c>
      <c r="C375" s="326" t="s">
        <v>1404</v>
      </c>
    </row>
    <row r="376" spans="1:3">
      <c r="A376" s="324">
        <v>101</v>
      </c>
      <c r="B376" s="325" t="s">
        <v>252</v>
      </c>
      <c r="C376" s="326" t="s">
        <v>1406</v>
      </c>
    </row>
    <row r="377" spans="1:3">
      <c r="A377" s="324">
        <v>102</v>
      </c>
      <c r="B377" s="325"/>
      <c r="C377" s="326"/>
    </row>
    <row r="378" spans="1:3">
      <c r="A378" s="324">
        <v>103</v>
      </c>
      <c r="B378" s="325" t="s">
        <v>259</v>
      </c>
      <c r="C378" s="326" t="s">
        <v>1407</v>
      </c>
    </row>
    <row r="379" spans="1:3">
      <c r="A379" s="324">
        <v>104</v>
      </c>
      <c r="B379" s="325" t="s">
        <v>260</v>
      </c>
      <c r="C379" s="326" t="s">
        <v>1408</v>
      </c>
    </row>
    <row r="380" spans="1:3">
      <c r="A380" s="324">
        <v>105</v>
      </c>
      <c r="B380" s="325" t="s">
        <v>261</v>
      </c>
      <c r="C380" s="326" t="s">
        <v>1409</v>
      </c>
    </row>
    <row r="381" spans="1:3">
      <c r="A381" s="324">
        <v>106</v>
      </c>
      <c r="B381" s="325"/>
      <c r="C381" s="326"/>
    </row>
    <row r="382" spans="1:3">
      <c r="A382" s="324">
        <v>107</v>
      </c>
      <c r="B382" s="325" t="s">
        <v>263</v>
      </c>
      <c r="C382" s="326" t="s">
        <v>1410</v>
      </c>
    </row>
    <row r="383" spans="1:3">
      <c r="A383" s="324">
        <v>108</v>
      </c>
      <c r="B383" s="325" t="s">
        <v>262</v>
      </c>
      <c r="C383" s="326" t="s">
        <v>1411</v>
      </c>
    </row>
    <row r="384" spans="1:3">
      <c r="A384" s="324">
        <v>109</v>
      </c>
      <c r="B384" s="325"/>
      <c r="C384" s="326"/>
    </row>
    <row r="385" spans="1:3">
      <c r="A385" s="324">
        <v>110</v>
      </c>
      <c r="B385" s="325" t="s">
        <v>295</v>
      </c>
      <c r="C385" s="326" t="s">
        <v>295</v>
      </c>
    </row>
    <row r="386" spans="1:3">
      <c r="A386" s="324">
        <v>111</v>
      </c>
      <c r="B386" s="325" t="s">
        <v>296</v>
      </c>
      <c r="C386" s="326" t="s">
        <v>1412</v>
      </c>
    </row>
    <row r="387" spans="1:3">
      <c r="A387" s="324">
        <v>112</v>
      </c>
      <c r="B387" s="325" t="s">
        <v>294</v>
      </c>
      <c r="C387" s="326" t="s">
        <v>1413</v>
      </c>
    </row>
    <row r="388" spans="1:3">
      <c r="A388" s="324">
        <v>113</v>
      </c>
      <c r="B388" s="325"/>
      <c r="C388" s="326"/>
    </row>
    <row r="389" spans="1:3">
      <c r="A389" s="324">
        <v>114</v>
      </c>
      <c r="B389" s="325" t="s">
        <v>295</v>
      </c>
      <c r="C389" s="326" t="s">
        <v>295</v>
      </c>
    </row>
    <row r="390" spans="1:3">
      <c r="A390" s="324">
        <v>115</v>
      </c>
      <c r="B390" s="325" t="s">
        <v>298</v>
      </c>
      <c r="C390" s="326" t="s">
        <v>1414</v>
      </c>
    </row>
    <row r="391" spans="1:3">
      <c r="A391" s="324">
        <v>116</v>
      </c>
      <c r="B391" s="325" t="s">
        <v>297</v>
      </c>
      <c r="C391" s="326" t="s">
        <v>1415</v>
      </c>
    </row>
    <row r="392" spans="1:3">
      <c r="A392" s="324">
        <v>117</v>
      </c>
      <c r="B392" s="325" t="s">
        <v>131</v>
      </c>
      <c r="C392" s="326" t="s">
        <v>1369</v>
      </c>
    </row>
    <row r="393" spans="1:3">
      <c r="A393" s="324">
        <v>118</v>
      </c>
      <c r="B393" s="325"/>
      <c r="C393" s="326"/>
    </row>
    <row r="394" spans="1:3">
      <c r="A394" s="324">
        <v>119</v>
      </c>
      <c r="B394" s="325" t="s">
        <v>300</v>
      </c>
      <c r="C394" s="326" t="s">
        <v>1416</v>
      </c>
    </row>
    <row r="395" spans="1:3">
      <c r="A395" s="324">
        <v>120</v>
      </c>
      <c r="B395" s="325" t="s">
        <v>301</v>
      </c>
      <c r="C395" s="326" t="s">
        <v>1417</v>
      </c>
    </row>
    <row r="396" spans="1:3">
      <c r="A396" s="324">
        <v>121</v>
      </c>
      <c r="B396" s="325" t="s">
        <v>303</v>
      </c>
      <c r="C396" s="326" t="s">
        <v>1418</v>
      </c>
    </row>
    <row r="397" spans="1:3">
      <c r="A397" s="324">
        <v>122</v>
      </c>
      <c r="B397" s="325" t="s">
        <v>302</v>
      </c>
      <c r="C397" s="326" t="s">
        <v>1419</v>
      </c>
    </row>
    <row r="398" spans="1:3">
      <c r="A398" s="324">
        <v>123</v>
      </c>
      <c r="B398" s="327"/>
      <c r="C398" s="326"/>
    </row>
    <row r="399" spans="1:3">
      <c r="A399" s="324">
        <v>124</v>
      </c>
      <c r="B399" s="325" t="s">
        <v>307</v>
      </c>
      <c r="C399" s="326" t="s">
        <v>1420</v>
      </c>
    </row>
    <row r="400" spans="1:3">
      <c r="A400" s="324">
        <v>125</v>
      </c>
      <c r="B400" s="325" t="s">
        <v>308</v>
      </c>
      <c r="C400" s="326" t="s">
        <v>1421</v>
      </c>
    </row>
    <row r="401" spans="1:3">
      <c r="A401" s="324">
        <v>126</v>
      </c>
      <c r="B401" s="325" t="s">
        <v>305</v>
      </c>
      <c r="C401" s="326" t="s">
        <v>1422</v>
      </c>
    </row>
    <row r="402" spans="1:3">
      <c r="A402" s="324">
        <v>127</v>
      </c>
      <c r="B402" s="325" t="s">
        <v>306</v>
      </c>
      <c r="C402" s="326" t="s">
        <v>1423</v>
      </c>
    </row>
    <row r="403" spans="1:3">
      <c r="A403" s="324">
        <v>128</v>
      </c>
      <c r="B403" s="328"/>
      <c r="C403" s="326"/>
    </row>
    <row r="404" spans="1:3">
      <c r="A404" s="324">
        <v>129</v>
      </c>
      <c r="B404" s="325" t="s">
        <v>311</v>
      </c>
      <c r="C404" s="326" t="s">
        <v>311</v>
      </c>
    </row>
    <row r="405" spans="1:3">
      <c r="A405" s="324">
        <v>130</v>
      </c>
      <c r="B405" s="325" t="s">
        <v>313</v>
      </c>
      <c r="C405" s="326" t="s">
        <v>1424</v>
      </c>
    </row>
    <row r="406" spans="1:3">
      <c r="A406" s="324">
        <v>131</v>
      </c>
      <c r="B406" s="325" t="s">
        <v>312</v>
      </c>
      <c r="C406" s="326" t="s">
        <v>1425</v>
      </c>
    </row>
    <row r="407" spans="1:3">
      <c r="A407" s="324">
        <v>132</v>
      </c>
      <c r="B407" s="325"/>
      <c r="C407" s="326"/>
    </row>
    <row r="408" spans="1:3">
      <c r="A408" s="324">
        <v>133</v>
      </c>
      <c r="B408" s="325" t="s">
        <v>318</v>
      </c>
      <c r="C408" s="326" t="s">
        <v>1426</v>
      </c>
    </row>
    <row r="409" spans="1:3">
      <c r="A409" s="324">
        <v>134</v>
      </c>
      <c r="B409" s="325" t="s">
        <v>317</v>
      </c>
      <c r="C409" s="326" t="s">
        <v>1427</v>
      </c>
    </row>
    <row r="410" spans="1:3">
      <c r="A410" s="324">
        <v>135</v>
      </c>
      <c r="B410" s="325"/>
      <c r="C410" s="326"/>
    </row>
    <row r="411" spans="1:3">
      <c r="A411" s="324">
        <v>136</v>
      </c>
      <c r="B411" s="325" t="s">
        <v>149</v>
      </c>
      <c r="C411" s="326" t="s">
        <v>1383</v>
      </c>
    </row>
    <row r="412" spans="1:3">
      <c r="A412" s="324">
        <v>137</v>
      </c>
      <c r="B412" s="325" t="s">
        <v>319</v>
      </c>
      <c r="C412" s="326" t="s">
        <v>1428</v>
      </c>
    </row>
    <row r="413" spans="1:3">
      <c r="A413" s="324">
        <v>138</v>
      </c>
      <c r="B413" s="325" t="s">
        <v>320</v>
      </c>
      <c r="C413" s="326" t="s">
        <v>1385</v>
      </c>
    </row>
    <row r="414" spans="1:3">
      <c r="A414" s="324">
        <v>139</v>
      </c>
      <c r="B414" s="325" t="s">
        <v>131</v>
      </c>
      <c r="C414" s="326" t="s">
        <v>1369</v>
      </c>
    </row>
    <row r="415" spans="1:3">
      <c r="A415" s="324">
        <v>140</v>
      </c>
      <c r="B415" s="325"/>
      <c r="C415" s="326"/>
    </row>
    <row r="416" spans="1:3">
      <c r="A416" s="324">
        <v>141</v>
      </c>
      <c r="B416" s="325" t="s">
        <v>324</v>
      </c>
      <c r="C416" s="326" t="s">
        <v>1429</v>
      </c>
    </row>
    <row r="417" spans="1:3">
      <c r="A417" s="324">
        <v>142</v>
      </c>
      <c r="B417" s="325" t="s">
        <v>325</v>
      </c>
      <c r="C417" s="326" t="s">
        <v>1430</v>
      </c>
    </row>
    <row r="418" spans="1:3">
      <c r="A418" s="324">
        <v>143</v>
      </c>
      <c r="B418" s="325" t="s">
        <v>326</v>
      </c>
      <c r="C418" s="326" t="s">
        <v>1431</v>
      </c>
    </row>
    <row r="419" spans="1:3">
      <c r="A419" s="324">
        <v>144</v>
      </c>
      <c r="B419" s="325" t="s">
        <v>327</v>
      </c>
      <c r="C419" s="326" t="s">
        <v>1432</v>
      </c>
    </row>
    <row r="420" spans="1:3">
      <c r="A420" s="324">
        <v>145</v>
      </c>
      <c r="B420" s="325"/>
      <c r="C420" s="326"/>
    </row>
    <row r="421" spans="1:3">
      <c r="A421" s="324">
        <v>146</v>
      </c>
      <c r="B421" s="325" t="s">
        <v>149</v>
      </c>
      <c r="C421" s="326" t="s">
        <v>1383</v>
      </c>
    </row>
    <row r="422" spans="1:3">
      <c r="A422" s="324">
        <v>147</v>
      </c>
      <c r="B422" s="325" t="s">
        <v>319</v>
      </c>
      <c r="C422" s="326" t="s">
        <v>1428</v>
      </c>
    </row>
    <row r="423" spans="1:3">
      <c r="A423" s="324">
        <v>148</v>
      </c>
      <c r="B423" s="325" t="s">
        <v>320</v>
      </c>
      <c r="C423" s="326" t="s">
        <v>1385</v>
      </c>
    </row>
    <row r="424" spans="1:3">
      <c r="A424" s="324">
        <v>149</v>
      </c>
      <c r="B424" s="325" t="s">
        <v>328</v>
      </c>
      <c r="C424" s="326" t="s">
        <v>1433</v>
      </c>
    </row>
    <row r="425" spans="1:3">
      <c r="A425" s="324">
        <v>150</v>
      </c>
      <c r="B425" s="325" t="s">
        <v>329</v>
      </c>
      <c r="C425" s="326" t="s">
        <v>1434</v>
      </c>
    </row>
    <row r="426" spans="1:3">
      <c r="A426" s="324">
        <v>151</v>
      </c>
      <c r="B426" s="325"/>
      <c r="C426" s="326"/>
    </row>
    <row r="427" spans="1:3">
      <c r="A427" s="324">
        <v>152</v>
      </c>
      <c r="B427" s="325" t="s">
        <v>149</v>
      </c>
      <c r="C427" s="326" t="s">
        <v>1383</v>
      </c>
    </row>
    <row r="428" spans="1:3">
      <c r="A428" s="324">
        <v>153</v>
      </c>
      <c r="B428" s="325" t="s">
        <v>330</v>
      </c>
      <c r="C428" s="326" t="s">
        <v>1435</v>
      </c>
    </row>
    <row r="429" spans="1:3">
      <c r="A429" s="324">
        <v>154</v>
      </c>
      <c r="B429" s="325" t="s">
        <v>328</v>
      </c>
      <c r="C429" s="326" t="s">
        <v>1433</v>
      </c>
    </row>
    <row r="430" spans="1:3">
      <c r="A430" s="324">
        <v>155</v>
      </c>
      <c r="B430" s="328"/>
      <c r="C430" s="326"/>
    </row>
    <row r="431" spans="1:3">
      <c r="A431" s="324">
        <v>156</v>
      </c>
      <c r="B431" s="325" t="s">
        <v>333</v>
      </c>
      <c r="C431" s="326" t="s">
        <v>1436</v>
      </c>
    </row>
    <row r="432" spans="1:3">
      <c r="A432" s="324">
        <v>157</v>
      </c>
      <c r="B432" s="325" t="s">
        <v>334</v>
      </c>
      <c r="C432" s="326" t="s">
        <v>1437</v>
      </c>
    </row>
    <row r="433" spans="1:3">
      <c r="A433" s="324">
        <v>158</v>
      </c>
      <c r="B433" s="325" t="s">
        <v>328</v>
      </c>
      <c r="C433" s="326" t="s">
        <v>1433</v>
      </c>
    </row>
    <row r="434" spans="1:3">
      <c r="A434" s="324">
        <v>159</v>
      </c>
      <c r="B434" s="325"/>
      <c r="C434" s="326"/>
    </row>
    <row r="435" spans="1:3">
      <c r="A435" s="324">
        <v>160</v>
      </c>
      <c r="B435" s="325" t="s">
        <v>357</v>
      </c>
      <c r="C435" s="326" t="s">
        <v>2747</v>
      </c>
    </row>
    <row r="436" spans="1:3">
      <c r="A436" s="324">
        <v>161</v>
      </c>
      <c r="B436" s="325" t="s">
        <v>356</v>
      </c>
      <c r="C436" s="326" t="s">
        <v>2748</v>
      </c>
    </row>
    <row r="437" spans="1:3">
      <c r="A437" s="324">
        <v>162</v>
      </c>
      <c r="B437" s="325" t="s">
        <v>358</v>
      </c>
      <c r="C437" s="326" t="s">
        <v>2749</v>
      </c>
    </row>
    <row r="438" spans="1:3">
      <c r="A438" s="324">
        <v>163</v>
      </c>
      <c r="B438" s="325" t="s">
        <v>359</v>
      </c>
      <c r="C438" s="326" t="s">
        <v>2746</v>
      </c>
    </row>
    <row r="439" spans="1:3">
      <c r="A439" s="324">
        <v>164</v>
      </c>
      <c r="B439" s="325"/>
      <c r="C439" s="326"/>
    </row>
    <row r="440" spans="1:3">
      <c r="A440" s="324">
        <v>165</v>
      </c>
      <c r="B440" s="325" t="s">
        <v>362</v>
      </c>
      <c r="C440" s="326" t="s">
        <v>1438</v>
      </c>
    </row>
    <row r="441" spans="1:3">
      <c r="A441" s="324">
        <v>166</v>
      </c>
      <c r="B441" s="325" t="s">
        <v>363</v>
      </c>
      <c r="C441" s="326" t="s">
        <v>1439</v>
      </c>
    </row>
    <row r="442" spans="1:3">
      <c r="A442" s="324">
        <v>167</v>
      </c>
      <c r="B442" s="325" t="s">
        <v>364</v>
      </c>
      <c r="C442" s="326" t="s">
        <v>1440</v>
      </c>
    </row>
    <row r="443" spans="1:3">
      <c r="A443" s="324">
        <v>168</v>
      </c>
      <c r="B443" s="325" t="s">
        <v>539</v>
      </c>
      <c r="C443" s="326" t="s">
        <v>1441</v>
      </c>
    </row>
    <row r="444" spans="1:3">
      <c r="A444" s="324">
        <v>169</v>
      </c>
      <c r="B444" s="328"/>
      <c r="C444" s="326"/>
    </row>
    <row r="445" spans="1:3">
      <c r="A445" s="324">
        <v>170</v>
      </c>
      <c r="B445" s="325" t="s">
        <v>366</v>
      </c>
      <c r="C445" s="326" t="s">
        <v>1442</v>
      </c>
    </row>
    <row r="446" spans="1:3">
      <c r="A446" s="324">
        <v>171</v>
      </c>
      <c r="B446" s="325" t="s">
        <v>367</v>
      </c>
      <c r="C446" s="326" t="s">
        <v>1443</v>
      </c>
    </row>
    <row r="447" spans="1:3">
      <c r="A447" s="324">
        <v>172</v>
      </c>
      <c r="B447" s="325" t="s">
        <v>368</v>
      </c>
      <c r="C447" s="326" t="s">
        <v>1444</v>
      </c>
    </row>
    <row r="448" spans="1:3">
      <c r="A448" s="324">
        <v>173</v>
      </c>
      <c r="B448" s="328"/>
      <c r="C448" s="326"/>
    </row>
    <row r="449" spans="1:3">
      <c r="A449" s="324">
        <v>174</v>
      </c>
      <c r="B449" s="325" t="s">
        <v>373</v>
      </c>
      <c r="C449" s="326" t="s">
        <v>1445</v>
      </c>
    </row>
    <row r="450" spans="1:3">
      <c r="A450" s="324">
        <v>175</v>
      </c>
      <c r="B450" s="325" t="s">
        <v>374</v>
      </c>
      <c r="C450" s="326" t="s">
        <v>1446</v>
      </c>
    </row>
    <row r="451" spans="1:3">
      <c r="A451" s="324">
        <v>176</v>
      </c>
      <c r="B451" s="325"/>
      <c r="C451" s="326"/>
    </row>
    <row r="452" spans="1:3">
      <c r="A452" s="324">
        <v>177</v>
      </c>
      <c r="B452" s="325" t="s">
        <v>379</v>
      </c>
      <c r="C452" s="326" t="s">
        <v>1447</v>
      </c>
    </row>
    <row r="453" spans="1:3">
      <c r="A453" s="324">
        <v>178</v>
      </c>
      <c r="B453" s="325" t="s">
        <v>381</v>
      </c>
      <c r="C453" s="326" t="s">
        <v>1448</v>
      </c>
    </row>
    <row r="454" spans="1:3">
      <c r="A454" s="324">
        <v>179</v>
      </c>
      <c r="B454" s="328"/>
      <c r="C454" s="326"/>
    </row>
    <row r="455" spans="1:3">
      <c r="A455" s="324">
        <v>180</v>
      </c>
      <c r="B455" s="325" t="s">
        <v>380</v>
      </c>
      <c r="C455" s="326" t="s">
        <v>1449</v>
      </c>
    </row>
    <row r="456" spans="1:3">
      <c r="A456" s="324">
        <v>181</v>
      </c>
      <c r="B456" s="325" t="s">
        <v>381</v>
      </c>
      <c r="C456" s="326" t="s">
        <v>1448</v>
      </c>
    </row>
    <row r="457" spans="1:3">
      <c r="A457" s="324">
        <v>182</v>
      </c>
      <c r="B457" s="328"/>
      <c r="C457" s="326"/>
    </row>
    <row r="458" spans="1:3">
      <c r="A458" s="324">
        <v>183</v>
      </c>
      <c r="B458" s="325" t="s">
        <v>395</v>
      </c>
      <c r="C458" s="326" t="s">
        <v>1450</v>
      </c>
    </row>
    <row r="459" spans="1:3">
      <c r="A459" s="324">
        <v>184</v>
      </c>
      <c r="B459" s="325" t="s">
        <v>396</v>
      </c>
      <c r="C459" s="326" t="s">
        <v>1451</v>
      </c>
    </row>
    <row r="460" spans="1:3">
      <c r="A460" s="324">
        <v>185</v>
      </c>
      <c r="B460" s="325" t="s">
        <v>328</v>
      </c>
      <c r="C460" s="326" t="s">
        <v>1452</v>
      </c>
    </row>
    <row r="461" spans="1:3">
      <c r="A461" s="324">
        <v>186</v>
      </c>
      <c r="B461" s="325"/>
      <c r="C461" s="326"/>
    </row>
    <row r="462" spans="1:3">
      <c r="A462" s="324">
        <v>187</v>
      </c>
      <c r="B462" s="325" t="s">
        <v>265</v>
      </c>
      <c r="C462" s="326" t="s">
        <v>1453</v>
      </c>
    </row>
    <row r="463" spans="1:3">
      <c r="A463" s="324">
        <v>188</v>
      </c>
      <c r="B463" s="325" t="s">
        <v>266</v>
      </c>
      <c r="C463" s="326" t="s">
        <v>1454</v>
      </c>
    </row>
    <row r="464" spans="1:3">
      <c r="A464" s="324">
        <v>189</v>
      </c>
      <c r="B464" s="325" t="s">
        <v>267</v>
      </c>
      <c r="C464" s="326" t="s">
        <v>1455</v>
      </c>
    </row>
    <row r="465" spans="1:3">
      <c r="A465" s="324">
        <v>190</v>
      </c>
      <c r="B465" s="328"/>
      <c r="C465" s="326"/>
    </row>
    <row r="466" spans="1:3">
      <c r="A466" s="324">
        <v>191</v>
      </c>
      <c r="B466" s="325" t="s">
        <v>167</v>
      </c>
      <c r="C466" s="326" t="s">
        <v>167</v>
      </c>
    </row>
    <row r="467" spans="1:3">
      <c r="A467" s="324">
        <v>192</v>
      </c>
      <c r="B467" s="325" t="s">
        <v>168</v>
      </c>
      <c r="C467" s="326" t="s">
        <v>168</v>
      </c>
    </row>
    <row r="468" spans="1:3">
      <c r="A468" s="324">
        <v>193</v>
      </c>
      <c r="B468" s="325" t="s">
        <v>169</v>
      </c>
      <c r="C468" s="326" t="s">
        <v>169</v>
      </c>
    </row>
    <row r="469" spans="1:3">
      <c r="A469" s="324">
        <v>194</v>
      </c>
      <c r="B469" s="325" t="s">
        <v>170</v>
      </c>
      <c r="C469" s="326" t="s">
        <v>1393</v>
      </c>
    </row>
    <row r="470" spans="1:3">
      <c r="A470" s="324">
        <v>195</v>
      </c>
      <c r="B470" s="327"/>
      <c r="C470" s="326"/>
    </row>
    <row r="471" spans="1:3">
      <c r="A471" s="324">
        <v>196</v>
      </c>
      <c r="B471" s="325" t="s">
        <v>173</v>
      </c>
      <c r="C471" s="326" t="s">
        <v>173</v>
      </c>
    </row>
    <row r="472" spans="1:3">
      <c r="A472" s="324">
        <v>197</v>
      </c>
      <c r="B472" s="325" t="s">
        <v>174</v>
      </c>
      <c r="C472" s="326" t="s">
        <v>174</v>
      </c>
    </row>
    <row r="473" spans="1:3">
      <c r="A473" s="324">
        <v>198</v>
      </c>
      <c r="B473" s="325" t="s">
        <v>175</v>
      </c>
      <c r="C473" s="326" t="s">
        <v>175</v>
      </c>
    </row>
    <row r="474" spans="1:3">
      <c r="A474" s="324">
        <v>199</v>
      </c>
      <c r="B474" s="325" t="s">
        <v>170</v>
      </c>
      <c r="C474" s="326" t="s">
        <v>1393</v>
      </c>
    </row>
    <row r="475" spans="1:3">
      <c r="A475" s="324">
        <v>200</v>
      </c>
      <c r="B475" s="328"/>
      <c r="C475" s="326"/>
    </row>
    <row r="476" spans="1:3">
      <c r="A476" s="324">
        <v>201</v>
      </c>
      <c r="B476" s="325" t="s">
        <v>526</v>
      </c>
      <c r="C476" s="326" t="s">
        <v>526</v>
      </c>
    </row>
    <row r="477" spans="1:3">
      <c r="A477" s="324">
        <v>202</v>
      </c>
      <c r="B477" s="325" t="s">
        <v>527</v>
      </c>
      <c r="C477" s="326" t="s">
        <v>527</v>
      </c>
    </row>
    <row r="478" spans="1:3">
      <c r="A478" s="324">
        <v>203</v>
      </c>
      <c r="B478" s="325" t="s">
        <v>528</v>
      </c>
      <c r="C478" s="326" t="s">
        <v>528</v>
      </c>
    </row>
    <row r="479" spans="1:3">
      <c r="A479" s="324">
        <v>204</v>
      </c>
      <c r="B479" s="325" t="s">
        <v>170</v>
      </c>
      <c r="C479" s="326" t="s">
        <v>1393</v>
      </c>
    </row>
    <row r="480" spans="1:3">
      <c r="A480" s="324">
        <v>205</v>
      </c>
      <c r="B480" s="327"/>
      <c r="C480" s="326"/>
    </row>
    <row r="481" spans="1:3">
      <c r="A481" s="324">
        <v>206</v>
      </c>
      <c r="B481" s="325" t="s">
        <v>529</v>
      </c>
      <c r="C481" s="326" t="s">
        <v>529</v>
      </c>
    </row>
    <row r="482" spans="1:3">
      <c r="A482" s="324">
        <v>207</v>
      </c>
      <c r="B482" s="325" t="s">
        <v>530</v>
      </c>
      <c r="C482" s="326" t="s">
        <v>530</v>
      </c>
    </row>
    <row r="483" spans="1:3">
      <c r="A483" s="324">
        <v>208</v>
      </c>
      <c r="B483" s="325" t="s">
        <v>531</v>
      </c>
      <c r="C483" s="326" t="s">
        <v>531</v>
      </c>
    </row>
    <row r="484" spans="1:3">
      <c r="A484" s="324">
        <v>209</v>
      </c>
      <c r="B484" s="325" t="s">
        <v>170</v>
      </c>
      <c r="C484" s="326" t="s">
        <v>1393</v>
      </c>
    </row>
    <row r="485" spans="1:3">
      <c r="A485" s="324">
        <v>210</v>
      </c>
      <c r="B485" s="325"/>
      <c r="C485" s="326"/>
    </row>
    <row r="486" spans="1:3">
      <c r="A486" s="324">
        <v>211</v>
      </c>
      <c r="B486" s="325" t="s">
        <v>176</v>
      </c>
      <c r="C486" s="326" t="s">
        <v>176</v>
      </c>
    </row>
    <row r="487" spans="1:3">
      <c r="A487" s="324">
        <v>212</v>
      </c>
      <c r="B487" s="325" t="s">
        <v>532</v>
      </c>
      <c r="C487" s="326" t="s">
        <v>532</v>
      </c>
    </row>
    <row r="488" spans="1:3">
      <c r="A488" s="324">
        <v>213</v>
      </c>
      <c r="B488" s="325" t="s">
        <v>533</v>
      </c>
      <c r="C488" s="326" t="s">
        <v>533</v>
      </c>
    </row>
    <row r="489" spans="1:3">
      <c r="A489" s="324">
        <v>214</v>
      </c>
      <c r="B489" s="325" t="s">
        <v>170</v>
      </c>
      <c r="C489" s="326" t="s">
        <v>1393</v>
      </c>
    </row>
    <row r="490" spans="1:3">
      <c r="A490" s="324">
        <v>215</v>
      </c>
      <c r="B490" s="325"/>
      <c r="C490" s="326"/>
    </row>
    <row r="491" spans="1:3">
      <c r="A491" s="324">
        <v>216</v>
      </c>
      <c r="B491" s="325" t="s">
        <v>534</v>
      </c>
      <c r="C491" s="326" t="s">
        <v>534</v>
      </c>
    </row>
    <row r="492" spans="1:3">
      <c r="A492" s="324">
        <v>217</v>
      </c>
      <c r="B492" s="325" t="s">
        <v>177</v>
      </c>
      <c r="C492" s="326" t="s">
        <v>177</v>
      </c>
    </row>
    <row r="493" spans="1:3">
      <c r="A493" s="324">
        <v>218</v>
      </c>
      <c r="B493" s="325" t="s">
        <v>535</v>
      </c>
      <c r="C493" s="326" t="s">
        <v>535</v>
      </c>
    </row>
    <row r="494" spans="1:3">
      <c r="A494" s="324">
        <v>219</v>
      </c>
      <c r="B494" s="325" t="s">
        <v>536</v>
      </c>
      <c r="C494" s="326" t="s">
        <v>1456</v>
      </c>
    </row>
    <row r="495" spans="1:3">
      <c r="A495" s="324">
        <v>220</v>
      </c>
      <c r="B495" s="325"/>
      <c r="C495" s="326"/>
    </row>
    <row r="496" spans="1:3">
      <c r="A496" s="324">
        <v>221</v>
      </c>
      <c r="B496" s="325" t="s">
        <v>1775</v>
      </c>
      <c r="C496" s="326" t="s">
        <v>1853</v>
      </c>
    </row>
    <row r="497" spans="1:3">
      <c r="A497" s="324">
        <v>222</v>
      </c>
      <c r="B497" s="325" t="s">
        <v>1776</v>
      </c>
      <c r="C497" s="326" t="s">
        <v>1854</v>
      </c>
    </row>
    <row r="498" spans="1:3">
      <c r="A498" s="324">
        <v>223</v>
      </c>
      <c r="B498" s="325" t="s">
        <v>1777</v>
      </c>
      <c r="C498" s="326" t="s">
        <v>1855</v>
      </c>
    </row>
    <row r="499" spans="1:3">
      <c r="A499" s="324">
        <v>224</v>
      </c>
      <c r="B499" s="325"/>
      <c r="C499" s="326"/>
    </row>
    <row r="500" spans="1:3">
      <c r="A500" s="324">
        <v>225</v>
      </c>
      <c r="B500" s="325" t="s">
        <v>1779</v>
      </c>
      <c r="C500" s="326" t="s">
        <v>1779</v>
      </c>
    </row>
    <row r="501" spans="1:3">
      <c r="A501" s="324">
        <v>226</v>
      </c>
      <c r="B501" s="325" t="s">
        <v>1781</v>
      </c>
      <c r="C501" s="326" t="s">
        <v>1856</v>
      </c>
    </row>
    <row r="502" spans="1:3">
      <c r="A502" s="324">
        <v>227</v>
      </c>
      <c r="B502" s="325" t="s">
        <v>1780</v>
      </c>
      <c r="C502" s="326" t="s">
        <v>1857</v>
      </c>
    </row>
    <row r="503" spans="1:3">
      <c r="A503" s="324">
        <v>228</v>
      </c>
      <c r="B503" s="325" t="s">
        <v>1782</v>
      </c>
      <c r="C503" s="326" t="s">
        <v>1858</v>
      </c>
    </row>
    <row r="504" spans="1:3">
      <c r="A504" s="324">
        <v>229</v>
      </c>
      <c r="B504" s="325"/>
      <c r="C504" s="326"/>
    </row>
    <row r="505" spans="1:3">
      <c r="A505" s="324">
        <v>230</v>
      </c>
      <c r="B505" s="325" t="s">
        <v>1783</v>
      </c>
      <c r="C505" s="326" t="s">
        <v>1859</v>
      </c>
    </row>
    <row r="506" spans="1:3">
      <c r="A506" s="324">
        <v>231</v>
      </c>
      <c r="B506" s="325" t="s">
        <v>1784</v>
      </c>
      <c r="C506" s="326" t="s">
        <v>1860</v>
      </c>
    </row>
    <row r="507" spans="1:3">
      <c r="A507" s="329">
        <v>232</v>
      </c>
      <c r="B507" s="330" t="s">
        <v>1782</v>
      </c>
      <c r="C507" s="331" t="s">
        <v>1858</v>
      </c>
    </row>
    <row r="508" spans="1:3">
      <c r="B508" s="92"/>
    </row>
    <row r="509" spans="1:3" ht="21">
      <c r="A509" s="195" t="s">
        <v>2722</v>
      </c>
      <c r="B509" s="352"/>
      <c r="C509" s="196"/>
    </row>
    <row r="510" spans="1:3" ht="15.75">
      <c r="A510" s="311">
        <v>1</v>
      </c>
      <c r="B510" s="312" t="s">
        <v>445</v>
      </c>
      <c r="C510" s="313" t="s">
        <v>542</v>
      </c>
    </row>
    <row r="511" spans="1:3" ht="15.75">
      <c r="A511" s="314">
        <v>2</v>
      </c>
      <c r="B511" s="315" t="s">
        <v>442</v>
      </c>
      <c r="C511" s="316" t="s">
        <v>1732</v>
      </c>
    </row>
    <row r="512" spans="1:3" ht="15.75">
      <c r="A512" s="314">
        <v>3</v>
      </c>
      <c r="B512" s="315" t="s">
        <v>440</v>
      </c>
      <c r="C512" s="316" t="s">
        <v>543</v>
      </c>
    </row>
    <row r="513" spans="1:3" ht="15.75">
      <c r="A513" s="314">
        <v>4</v>
      </c>
      <c r="B513" s="315" t="s">
        <v>441</v>
      </c>
      <c r="C513" s="316" t="s">
        <v>1733</v>
      </c>
    </row>
    <row r="514" spans="1:3" ht="15.75">
      <c r="A514" s="314">
        <v>5</v>
      </c>
      <c r="B514" s="315" t="s">
        <v>444</v>
      </c>
      <c r="C514" s="316" t="s">
        <v>908</v>
      </c>
    </row>
    <row r="515" spans="1:3" ht="15.75">
      <c r="A515" s="314">
        <v>6</v>
      </c>
      <c r="B515" s="315" t="s">
        <v>0</v>
      </c>
      <c r="C515" s="316" t="s">
        <v>1734</v>
      </c>
    </row>
    <row r="516" spans="1:3" ht="15.75">
      <c r="A516" s="314">
        <v>7</v>
      </c>
      <c r="B516" s="315" t="s">
        <v>446</v>
      </c>
      <c r="C516" s="316" t="s">
        <v>1735</v>
      </c>
    </row>
    <row r="517" spans="1:3" ht="15.75">
      <c r="A517" s="314">
        <v>8</v>
      </c>
      <c r="B517" s="315" t="s">
        <v>447</v>
      </c>
      <c r="C517" s="316" t="s">
        <v>1736</v>
      </c>
    </row>
    <row r="518" spans="1:3" ht="15.75">
      <c r="A518" s="314">
        <v>9</v>
      </c>
      <c r="B518" s="315" t="s">
        <v>448</v>
      </c>
      <c r="C518" s="316" t="s">
        <v>1737</v>
      </c>
    </row>
    <row r="519" spans="1:3" ht="15.75">
      <c r="A519" s="314">
        <v>10</v>
      </c>
      <c r="B519" s="315" t="s">
        <v>449</v>
      </c>
      <c r="C519" s="316" t="s">
        <v>449</v>
      </c>
    </row>
    <row r="520" spans="1:3" ht="15.75">
      <c r="A520" s="314">
        <v>11</v>
      </c>
      <c r="B520" s="315" t="s">
        <v>450</v>
      </c>
      <c r="C520" s="316" t="s">
        <v>1738</v>
      </c>
    </row>
    <row r="521" spans="1:3" ht="15.75">
      <c r="A521" s="314">
        <v>12</v>
      </c>
      <c r="B521" s="315" t="s">
        <v>451</v>
      </c>
      <c r="C521" s="316" t="s">
        <v>1739</v>
      </c>
    </row>
    <row r="522" spans="1:3" ht="15.75">
      <c r="A522" s="314">
        <v>13</v>
      </c>
      <c r="B522" s="315" t="s">
        <v>452</v>
      </c>
      <c r="C522" s="316" t="s">
        <v>1740</v>
      </c>
    </row>
    <row r="523" spans="1:3" ht="15.75">
      <c r="A523" s="314">
        <v>14</v>
      </c>
      <c r="B523" s="315" t="s">
        <v>453</v>
      </c>
      <c r="C523" s="316" t="s">
        <v>1741</v>
      </c>
    </row>
    <row r="524" spans="1:3" ht="15.75">
      <c r="A524" s="314">
        <v>15</v>
      </c>
      <c r="B524" s="315" t="s">
        <v>454</v>
      </c>
      <c r="C524" s="316" t="s">
        <v>1742</v>
      </c>
    </row>
    <row r="525" spans="1:3" ht="15.75">
      <c r="A525" s="314">
        <v>16</v>
      </c>
      <c r="B525" s="315" t="s">
        <v>455</v>
      </c>
      <c r="C525" s="316" t="s">
        <v>1743</v>
      </c>
    </row>
    <row r="526" spans="1:3" ht="15.75">
      <c r="A526" s="314">
        <v>17</v>
      </c>
      <c r="B526" s="315" t="s">
        <v>469</v>
      </c>
      <c r="C526" s="316" t="s">
        <v>1696</v>
      </c>
    </row>
    <row r="527" spans="1:3" ht="15.75">
      <c r="A527" s="314">
        <v>18</v>
      </c>
      <c r="B527" s="315" t="s">
        <v>470</v>
      </c>
      <c r="C527" s="316" t="s">
        <v>1697</v>
      </c>
    </row>
    <row r="528" spans="1:3" ht="15.75">
      <c r="A528" s="314">
        <v>19</v>
      </c>
      <c r="B528" s="315" t="s">
        <v>1</v>
      </c>
      <c r="C528" s="316" t="s">
        <v>1698</v>
      </c>
    </row>
    <row r="529" spans="1:3" ht="15.75">
      <c r="A529" s="314">
        <v>20</v>
      </c>
      <c r="B529" s="315" t="s">
        <v>471</v>
      </c>
      <c r="C529" s="316" t="s">
        <v>1699</v>
      </c>
    </row>
    <row r="530" spans="1:3" ht="15.75">
      <c r="A530" s="314">
        <v>21</v>
      </c>
      <c r="B530" s="315" t="s">
        <v>472</v>
      </c>
      <c r="C530" s="316" t="s">
        <v>1700</v>
      </c>
    </row>
    <row r="531" spans="1:3" ht="15.75">
      <c r="A531" s="314">
        <v>22</v>
      </c>
      <c r="B531" s="315" t="s">
        <v>120</v>
      </c>
      <c r="C531" s="316" t="s">
        <v>1701</v>
      </c>
    </row>
    <row r="532" spans="1:3" ht="15.75">
      <c r="A532" s="314">
        <v>23</v>
      </c>
      <c r="B532" s="315" t="s">
        <v>121</v>
      </c>
      <c r="C532" s="316" t="s">
        <v>1702</v>
      </c>
    </row>
    <row r="533" spans="1:3" ht="15.75">
      <c r="A533" s="314">
        <v>24</v>
      </c>
      <c r="B533" s="315" t="s">
        <v>473</v>
      </c>
      <c r="C533" s="316" t="s">
        <v>1703</v>
      </c>
    </row>
    <row r="534" spans="1:3" ht="15.75">
      <c r="A534" s="314">
        <v>25</v>
      </c>
      <c r="B534" s="315" t="s">
        <v>116</v>
      </c>
      <c r="C534" s="316" t="s">
        <v>1704</v>
      </c>
    </row>
    <row r="535" spans="1:3" ht="15.75">
      <c r="A535" s="314">
        <v>26</v>
      </c>
      <c r="B535" s="315" t="s">
        <v>521</v>
      </c>
      <c r="C535" s="316" t="s">
        <v>1697</v>
      </c>
    </row>
    <row r="536" spans="1:3" ht="15.75">
      <c r="A536" s="314">
        <v>27</v>
      </c>
      <c r="B536" s="315" t="s">
        <v>127</v>
      </c>
      <c r="C536" s="316" t="s">
        <v>1705</v>
      </c>
    </row>
    <row r="537" spans="1:3" ht="15.75">
      <c r="A537" s="314">
        <v>28</v>
      </c>
      <c r="B537" s="315" t="s">
        <v>277</v>
      </c>
      <c r="C537" s="316" t="s">
        <v>1706</v>
      </c>
    </row>
    <row r="538" spans="1:3" ht="15.75">
      <c r="A538" s="314">
        <v>29</v>
      </c>
      <c r="B538" s="315" t="s">
        <v>125</v>
      </c>
      <c r="C538" s="316" t="s">
        <v>1707</v>
      </c>
    </row>
    <row r="539" spans="1:3" ht="15.75">
      <c r="A539" s="314">
        <v>30</v>
      </c>
      <c r="B539" s="315" t="s">
        <v>126</v>
      </c>
      <c r="C539" s="316" t="s">
        <v>1708</v>
      </c>
    </row>
    <row r="540" spans="1:3" ht="15.75">
      <c r="A540" s="314">
        <v>31</v>
      </c>
      <c r="B540" s="315" t="s">
        <v>3</v>
      </c>
      <c r="C540" s="316" t="s">
        <v>1709</v>
      </c>
    </row>
    <row r="541" spans="1:3" ht="15.75">
      <c r="A541" s="314">
        <v>32</v>
      </c>
      <c r="B541" s="315" t="s">
        <v>270</v>
      </c>
      <c r="C541" s="316" t="s">
        <v>1710</v>
      </c>
    </row>
    <row r="542" spans="1:3" ht="15.75">
      <c r="A542" s="314">
        <v>33</v>
      </c>
      <c r="B542" s="315" t="s">
        <v>481</v>
      </c>
      <c r="C542" s="316" t="s">
        <v>1711</v>
      </c>
    </row>
    <row r="543" spans="1:3" ht="15.75">
      <c r="A543" s="314">
        <v>34</v>
      </c>
      <c r="B543" s="315" t="s">
        <v>479</v>
      </c>
      <c r="C543" s="316" t="s">
        <v>1712</v>
      </c>
    </row>
    <row r="544" spans="1:3" ht="15.75">
      <c r="A544" s="314">
        <v>35</v>
      </c>
      <c r="B544" s="315" t="s">
        <v>123</v>
      </c>
      <c r="C544" s="316" t="s">
        <v>1713</v>
      </c>
    </row>
    <row r="545" spans="1:3" ht="15.75">
      <c r="A545" s="314">
        <v>36</v>
      </c>
      <c r="B545" s="315" t="s">
        <v>124</v>
      </c>
      <c r="C545" s="316" t="s">
        <v>1714</v>
      </c>
    </row>
    <row r="546" spans="1:3" ht="15.75">
      <c r="A546" s="314">
        <v>37</v>
      </c>
      <c r="B546" s="315" t="s">
        <v>430</v>
      </c>
      <c r="C546" s="316" t="s">
        <v>1715</v>
      </c>
    </row>
    <row r="547" spans="1:3" ht="15.75">
      <c r="A547" s="314">
        <v>38</v>
      </c>
      <c r="B547" s="315" t="s">
        <v>431</v>
      </c>
      <c r="C547" s="316" t="s">
        <v>1716</v>
      </c>
    </row>
    <row r="548" spans="1:3" ht="15.75">
      <c r="A548" s="314">
        <v>39</v>
      </c>
      <c r="B548" s="315" t="s">
        <v>432</v>
      </c>
      <c r="C548" s="316" t="s">
        <v>1717</v>
      </c>
    </row>
    <row r="549" spans="1:3" ht="15.75">
      <c r="A549" s="314">
        <v>40</v>
      </c>
      <c r="B549" s="315" t="s">
        <v>434</v>
      </c>
      <c r="C549" s="316" t="s">
        <v>1718</v>
      </c>
    </row>
    <row r="550" spans="1:3" ht="15.75">
      <c r="A550" s="314">
        <v>41</v>
      </c>
      <c r="B550" s="315" t="s">
        <v>476</v>
      </c>
      <c r="C550" s="316" t="s">
        <v>1719</v>
      </c>
    </row>
    <row r="551" spans="1:3" ht="15.75">
      <c r="A551" s="314">
        <v>42</v>
      </c>
      <c r="B551" s="315" t="s">
        <v>519</v>
      </c>
      <c r="C551" s="316" t="s">
        <v>519</v>
      </c>
    </row>
    <row r="552" spans="1:3" ht="15.75">
      <c r="A552" s="314">
        <v>43</v>
      </c>
      <c r="B552" s="315" t="s">
        <v>477</v>
      </c>
      <c r="C552" s="316" t="s">
        <v>1720</v>
      </c>
    </row>
    <row r="553" spans="1:3" ht="15.75">
      <c r="A553" s="314">
        <v>44</v>
      </c>
      <c r="B553" s="315" t="s">
        <v>478</v>
      </c>
      <c r="C553" s="316" t="s">
        <v>1721</v>
      </c>
    </row>
    <row r="554" spans="1:3" ht="15.75">
      <c r="A554" s="314">
        <v>45</v>
      </c>
      <c r="B554" s="315" t="s">
        <v>433</v>
      </c>
      <c r="C554" s="316" t="s">
        <v>433</v>
      </c>
    </row>
    <row r="555" spans="1:3" ht="15.75">
      <c r="A555" s="314">
        <v>46</v>
      </c>
      <c r="B555" s="315" t="s">
        <v>435</v>
      </c>
      <c r="C555" s="316" t="s">
        <v>1722</v>
      </c>
    </row>
    <row r="556" spans="1:3" ht="15.75">
      <c r="A556" s="314">
        <v>47</v>
      </c>
      <c r="B556" s="315" t="s">
        <v>522</v>
      </c>
      <c r="C556" s="316" t="s">
        <v>1723</v>
      </c>
    </row>
    <row r="557" spans="1:3" ht="15.75">
      <c r="A557" s="314">
        <v>48</v>
      </c>
      <c r="B557" s="315" t="s">
        <v>436</v>
      </c>
      <c r="C557" s="316" t="s">
        <v>1724</v>
      </c>
    </row>
    <row r="558" spans="1:3" ht="15.75">
      <c r="A558" s="314">
        <v>49</v>
      </c>
      <c r="B558" s="315" t="s">
        <v>523</v>
      </c>
      <c r="C558" s="316" t="s">
        <v>1725</v>
      </c>
    </row>
    <row r="559" spans="1:3" ht="15.75">
      <c r="A559" s="314">
        <v>50</v>
      </c>
      <c r="B559" s="315" t="s">
        <v>520</v>
      </c>
      <c r="C559" s="316" t="s">
        <v>1726</v>
      </c>
    </row>
    <row r="560" spans="1:3" ht="15.75">
      <c r="A560" s="314">
        <v>51</v>
      </c>
      <c r="B560" s="315" t="s">
        <v>524</v>
      </c>
      <c r="C560" s="316" t="s">
        <v>1727</v>
      </c>
    </row>
    <row r="561" spans="1:3" ht="15.75">
      <c r="A561" s="314">
        <v>52</v>
      </c>
      <c r="B561" s="315" t="s">
        <v>276</v>
      </c>
      <c r="C561" s="316" t="s">
        <v>1520</v>
      </c>
    </row>
    <row r="562" spans="1:3" ht="15.75">
      <c r="A562" s="314">
        <v>53</v>
      </c>
      <c r="B562" s="315" t="s">
        <v>92</v>
      </c>
      <c r="C562" s="316" t="s">
        <v>1728</v>
      </c>
    </row>
    <row r="563" spans="1:3" ht="15.75">
      <c r="A563" s="314">
        <v>54</v>
      </c>
      <c r="B563" s="315" t="s">
        <v>480</v>
      </c>
      <c r="C563" s="316" t="s">
        <v>1729</v>
      </c>
    </row>
    <row r="564" spans="1:3" ht="15.75">
      <c r="A564" s="314">
        <v>55</v>
      </c>
      <c r="B564" s="315" t="s">
        <v>475</v>
      </c>
      <c r="C564" s="316" t="s">
        <v>1730</v>
      </c>
    </row>
    <row r="565" spans="1:3" ht="15.75">
      <c r="A565" s="314">
        <v>56</v>
      </c>
      <c r="B565" s="315" t="s">
        <v>4</v>
      </c>
      <c r="C565" s="316" t="s">
        <v>1731</v>
      </c>
    </row>
    <row r="566" spans="1:3" ht="15.75">
      <c r="A566" s="314">
        <v>57</v>
      </c>
      <c r="B566" s="315" t="s">
        <v>1345</v>
      </c>
      <c r="C566" s="316" t="s">
        <v>1731</v>
      </c>
    </row>
    <row r="567" spans="1:3" ht="15.75">
      <c r="A567" s="314">
        <v>58</v>
      </c>
      <c r="B567" s="315" t="s">
        <v>1354</v>
      </c>
      <c r="C567" s="316" t="s">
        <v>1842</v>
      </c>
    </row>
    <row r="568" spans="1:3" ht="31.5">
      <c r="A568" s="314">
        <v>59</v>
      </c>
      <c r="B568" s="315" t="s">
        <v>1352</v>
      </c>
      <c r="C568" s="316" t="s">
        <v>1843</v>
      </c>
    </row>
    <row r="569" spans="1:3" ht="31.5">
      <c r="A569" s="314">
        <v>60</v>
      </c>
      <c r="B569" s="315" t="s">
        <v>1350</v>
      </c>
      <c r="C569" s="316" t="s">
        <v>1844</v>
      </c>
    </row>
    <row r="570" spans="1:3" ht="15.75">
      <c r="A570" s="314">
        <v>61</v>
      </c>
      <c r="B570" s="315" t="s">
        <v>1351</v>
      </c>
      <c r="C570" s="316" t="s">
        <v>1845</v>
      </c>
    </row>
    <row r="571" spans="1:3" ht="15.75">
      <c r="A571" s="314">
        <v>62</v>
      </c>
      <c r="B571" s="315" t="s">
        <v>1353</v>
      </c>
      <c r="C571" s="316" t="s">
        <v>1846</v>
      </c>
    </row>
    <row r="572" spans="1:3" ht="31.5">
      <c r="A572" s="314">
        <v>63</v>
      </c>
      <c r="B572" s="315" t="s">
        <v>2699</v>
      </c>
      <c r="C572" s="316" t="s">
        <v>1847</v>
      </c>
    </row>
    <row r="573" spans="1:3" ht="15.75">
      <c r="A573" s="314">
        <v>64</v>
      </c>
      <c r="B573" s="315" t="s">
        <v>1356</v>
      </c>
      <c r="C573" s="316" t="s">
        <v>1848</v>
      </c>
    </row>
    <row r="574" spans="1:3" ht="31.5">
      <c r="A574" s="314">
        <v>65</v>
      </c>
      <c r="B574" s="315" t="s">
        <v>1787</v>
      </c>
      <c r="C574" s="316" t="s">
        <v>1849</v>
      </c>
    </row>
    <row r="575" spans="1:3" ht="15.75">
      <c r="A575" s="314">
        <v>66</v>
      </c>
      <c r="B575" s="315" t="s">
        <v>1861</v>
      </c>
      <c r="C575" s="316" t="s">
        <v>1850</v>
      </c>
    </row>
    <row r="576" spans="1:3" ht="15.75">
      <c r="A576" s="314">
        <v>67</v>
      </c>
      <c r="B576" s="315" t="s">
        <v>1818</v>
      </c>
      <c r="C576" s="316" t="s">
        <v>1818</v>
      </c>
    </row>
    <row r="577" spans="1:3" ht="15.75">
      <c r="A577" s="314">
        <v>68</v>
      </c>
      <c r="B577" s="315" t="s">
        <v>1819</v>
      </c>
      <c r="C577" s="316" t="s">
        <v>1851</v>
      </c>
    </row>
    <row r="578" spans="1:3" ht="31.5">
      <c r="A578" s="314">
        <v>69</v>
      </c>
      <c r="B578" s="315" t="s">
        <v>1820</v>
      </c>
      <c r="C578" s="316" t="s">
        <v>1852</v>
      </c>
    </row>
    <row r="579" spans="1:3">
      <c r="A579" s="317">
        <v>70</v>
      </c>
      <c r="B579" s="316" t="s">
        <v>1788</v>
      </c>
      <c r="C579" s="316">
        <v>0</v>
      </c>
    </row>
    <row r="580" spans="1:3">
      <c r="A580" s="317">
        <v>71</v>
      </c>
      <c r="B580" s="316" t="s">
        <v>2709</v>
      </c>
      <c r="C580" s="316">
        <v>0</v>
      </c>
    </row>
    <row r="581" spans="1:3">
      <c r="A581" s="317">
        <v>72</v>
      </c>
      <c r="B581" s="316" t="s">
        <v>1778</v>
      </c>
      <c r="C581" s="316">
        <v>0</v>
      </c>
    </row>
    <row r="582" spans="1:3">
      <c r="A582" s="317">
        <v>73</v>
      </c>
      <c r="B582" s="316" t="s">
        <v>2714</v>
      </c>
      <c r="C582" s="316">
        <v>0</v>
      </c>
    </row>
    <row r="583" spans="1:3">
      <c r="A583" s="317">
        <v>74</v>
      </c>
      <c r="B583" s="316" t="s">
        <v>1786</v>
      </c>
      <c r="C583" s="316">
        <v>0</v>
      </c>
    </row>
    <row r="584" spans="1:3">
      <c r="A584" s="317">
        <v>75</v>
      </c>
      <c r="B584" s="316" t="s">
        <v>1774</v>
      </c>
      <c r="C584" s="316">
        <v>0</v>
      </c>
    </row>
    <row r="585" spans="1:3">
      <c r="A585" s="318">
        <v>76</v>
      </c>
      <c r="B585" s="319" t="s">
        <v>1773</v>
      </c>
      <c r="C585" s="319">
        <v>0</v>
      </c>
    </row>
  </sheetData>
  <sheetProtection algorithmName="SHA-512" hashValue="YJ1Hv5prc44iqxwUevTdhnMdhMda8Pbv0yhP78IDEOn5TdMU552WD7HOW3RjQIU1ksf4+Aa/lOguKhqwRBQALQ==" saltValue="IrW7SIL5EeoNp7zzJdrbzw==" spinCount="100000" sheet="1" objects="1" scenarios="1" formatRows="0" selectLockedCells="1"/>
  <conditionalFormatting sqref="C4:C273">
    <cfRule type="expression" dxfId="2" priority="3">
      <formula>AND(B4&lt;&gt;"",OR(C4="",C4=0))</formula>
    </cfRule>
  </conditionalFormatting>
  <conditionalFormatting sqref="C276:C507">
    <cfRule type="expression" dxfId="1" priority="2">
      <formula>AND(B276&lt;&gt;"",OR(C276="",C276=0))</formula>
    </cfRule>
  </conditionalFormatting>
  <conditionalFormatting sqref="C510:C585">
    <cfRule type="expression" dxfId="0" priority="1">
      <formula>AND(B510&lt;&gt;"",OR(C510="",C510=0))</formula>
    </cfRule>
  </conditionalFormatting>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30"/>
  <sheetViews>
    <sheetView showGridLines="0" workbookViewId="0">
      <pane ySplit="1" topLeftCell="A2" activePane="bottomLeft" state="frozenSplit"/>
      <selection activeCell="D3" sqref="D3:E3"/>
      <selection pane="bottomLeft" activeCell="J27" sqref="J27:J29"/>
    </sheetView>
  </sheetViews>
  <sheetFormatPr baseColWidth="10" defaultColWidth="0" defaultRowHeight="13.5" zeroHeight="1"/>
  <cols>
    <col min="1" max="1" width="5.1328125" style="7" customWidth="1"/>
    <col min="2" max="2" width="45.73046875" style="7" customWidth="1"/>
    <col min="3" max="8" width="14.265625" style="7" customWidth="1"/>
    <col min="9" max="9" width="12.1328125" style="7" customWidth="1"/>
    <col min="10" max="10" width="10.86328125" style="7" customWidth="1"/>
    <col min="11" max="11" width="13.73046875" style="7" customWidth="1"/>
    <col min="12" max="12" width="10.86328125" style="7" customWidth="1"/>
    <col min="13" max="13" width="13.265625" style="7" customWidth="1"/>
    <col min="14" max="14" width="0.73046875" style="7" customWidth="1"/>
    <col min="15" max="16384" width="10.86328125" style="7" hidden="1"/>
  </cols>
  <sheetData>
    <row r="1" spans="1:17" ht="22.9" thickBot="1">
      <c r="A1" s="117" t="str">
        <f>Tags!B38</f>
        <v>Global Evaluation</v>
      </c>
      <c r="B1" s="118"/>
      <c r="C1" s="119">
        <f>'General Info'!C11</f>
        <v>0</v>
      </c>
      <c r="D1" s="118"/>
      <c r="E1" s="118"/>
      <c r="F1" s="118"/>
      <c r="G1" s="118"/>
      <c r="H1" s="118"/>
      <c r="I1" s="120"/>
      <c r="J1" s="118"/>
      <c r="K1" s="118"/>
      <c r="L1" s="121" t="str">
        <f>Tags!B49</f>
        <v>% Completion:</v>
      </c>
      <c r="M1" s="85">
        <f>E22/D22</f>
        <v>0</v>
      </c>
    </row>
    <row r="2" spans="1:17">
      <c r="A2" s="24"/>
      <c r="B2" s="24"/>
      <c r="C2" s="24"/>
      <c r="D2" s="24"/>
      <c r="E2" s="24"/>
      <c r="F2" s="24"/>
      <c r="G2" s="24"/>
      <c r="H2" s="24"/>
      <c r="I2" s="24"/>
      <c r="J2" s="24"/>
      <c r="K2" s="24"/>
      <c r="L2" s="24"/>
      <c r="M2" s="24"/>
    </row>
    <row r="3" spans="1:17" ht="54" customHeight="1">
      <c r="A3" s="396" t="str">
        <f>Tags!B39</f>
        <v>Category</v>
      </c>
      <c r="B3" s="397"/>
      <c r="C3" s="198" t="str">
        <f>Tags!B40</f>
        <v>Number of Items</v>
      </c>
      <c r="D3" s="199" t="str">
        <f>Tags!B41</f>
        <v>Number of Oks</v>
      </c>
      <c r="E3" s="199" t="str">
        <f>Tags!B42</f>
        <v>Number of Fails</v>
      </c>
      <c r="F3" s="39" t="str">
        <f>Tags!B43</f>
        <v>To be Completed</v>
      </c>
      <c r="G3" s="24"/>
      <c r="H3" s="88"/>
      <c r="I3" s="88"/>
      <c r="J3" s="88"/>
      <c r="K3" s="88"/>
      <c r="L3" s="113"/>
      <c r="M3" s="55" t="str">
        <f>M6</f>
        <v>Status</v>
      </c>
    </row>
    <row r="4" spans="1:17">
      <c r="A4" s="86">
        <v>1</v>
      </c>
      <c r="B4" s="122" t="str">
        <f>'1. Mandatory Conditions'!B1</f>
        <v>Mandatory Minimum Conditions</v>
      </c>
      <c r="C4" s="86">
        <f>'1. Mandatory Conditions'!C16+'1. Mandatory Conditions'!C17+'1. Mandatory Conditions'!C18</f>
        <v>11</v>
      </c>
      <c r="D4" s="40">
        <f>'1. Mandatory Conditions'!C16</f>
        <v>0</v>
      </c>
      <c r="E4" s="40">
        <f>C4-D4</f>
        <v>11</v>
      </c>
      <c r="F4" s="87">
        <f>'1. Mandatory Conditions'!C18</f>
        <v>11</v>
      </c>
      <c r="G4" s="24"/>
      <c r="H4" s="43"/>
      <c r="I4" s="43"/>
      <c r="J4" s="43"/>
      <c r="K4" s="43"/>
      <c r="L4" s="113"/>
      <c r="M4" s="123" t="str">
        <f>IF(E4&gt;0,fail,IF(F4=0,pass,incomplete))</f>
        <v>Fail</v>
      </c>
    </row>
    <row r="5" spans="1:17">
      <c r="A5" s="24"/>
      <c r="B5" s="24"/>
      <c r="C5" s="24"/>
      <c r="D5" s="24"/>
      <c r="E5" s="24"/>
      <c r="F5" s="24"/>
      <c r="G5" s="24"/>
      <c r="H5" s="24"/>
      <c r="I5" s="24"/>
      <c r="J5" s="24"/>
      <c r="K5" s="24"/>
      <c r="L5" s="24"/>
      <c r="M5" s="24"/>
    </row>
    <row r="6" spans="1:17" s="38" customFormat="1" ht="47.1" customHeight="1">
      <c r="A6" s="396" t="str">
        <f>A3</f>
        <v>Category</v>
      </c>
      <c r="B6" s="397"/>
      <c r="C6" s="177" t="str">
        <f>Tags!B30</f>
        <v>Total Items</v>
      </c>
      <c r="D6" s="177" t="str">
        <f>Tags!B31</f>
        <v>Total Items + SubItems</v>
      </c>
      <c r="E6" s="177" t="str">
        <f>Tags!B32</f>
        <v>Itens Completed</v>
      </c>
      <c r="F6" s="177" t="str">
        <f>Tags!B33</f>
        <v>Not measured</v>
      </c>
      <c r="G6" s="177" t="str">
        <f>Tags!B35</f>
        <v>Maximum Score</v>
      </c>
      <c r="H6" s="177" t="str">
        <f>Tags!B34</f>
        <v>Score</v>
      </c>
      <c r="I6" s="78" t="str">
        <f>Tags!B44</f>
        <v>% Obtained</v>
      </c>
      <c r="J6" s="74" t="str">
        <f>Tags!B45</f>
        <v>Minimum</v>
      </c>
      <c r="K6" s="55" t="str">
        <f>Tags!B46</f>
        <v>Category Points</v>
      </c>
      <c r="L6" s="55" t="str">
        <f>Tags!B47</f>
        <v>Points Obtained</v>
      </c>
      <c r="M6" s="74" t="str">
        <f>Tags!B48</f>
        <v>Status</v>
      </c>
    </row>
    <row r="7" spans="1:17" s="24" customFormat="1" ht="15" customHeight="1">
      <c r="A7" s="68">
        <f>'2. Lighting'!$A$1</f>
        <v>2</v>
      </c>
      <c r="B7" s="111" t="str">
        <f>'2. Lighting'!$B$1</f>
        <v>Lighting</v>
      </c>
      <c r="C7" s="68">
        <f>'2. Lighting'!$C$3</f>
        <v>8</v>
      </c>
      <c r="D7" s="41">
        <f>'2. Lighting'!$C$4</f>
        <v>17</v>
      </c>
      <c r="E7" s="42">
        <f>'2. Lighting'!$C$5</f>
        <v>0</v>
      </c>
      <c r="F7" s="42">
        <f>'2. Lighting'!$C$6</f>
        <v>17</v>
      </c>
      <c r="G7" s="42">
        <f>'2. Lighting'!$F$4</f>
        <v>46</v>
      </c>
      <c r="H7" s="42">
        <f>'2. Lighting'!$F$3</f>
        <v>0</v>
      </c>
      <c r="I7" s="79">
        <f>+H7/G7</f>
        <v>0</v>
      </c>
      <c r="J7" s="76">
        <v>0.4</v>
      </c>
      <c r="K7" s="56">
        <v>16</v>
      </c>
      <c r="L7" s="62">
        <f t="shared" ref="L7:L15" si="0">I7*K7</f>
        <v>0</v>
      </c>
      <c r="M7" s="112" t="str">
        <f t="shared" ref="M7:M15" si="1">IF(I7&gt;=J7,pass,IF(F7=0,fail,incomplete))</f>
        <v>Incomplete</v>
      </c>
      <c r="N7" s="38"/>
      <c r="O7" s="38"/>
      <c r="P7" s="38"/>
      <c r="Q7" s="38"/>
    </row>
    <row r="8" spans="1:17" s="24" customFormat="1" ht="15" customHeight="1">
      <c r="A8" s="69">
        <f>'3. Entry Exit'!$A$1</f>
        <v>3</v>
      </c>
      <c r="B8" s="113" t="str">
        <f>'3. Entry Exit'!$B$1</f>
        <v>Car Entry / Car Exit</v>
      </c>
      <c r="C8" s="69">
        <f>'3. Entry Exit'!$C$3</f>
        <v>11</v>
      </c>
      <c r="D8" s="43">
        <f>'3. Entry Exit'!$C$4</f>
        <v>23</v>
      </c>
      <c r="E8" s="44">
        <f>'3. Entry Exit'!$C$5</f>
        <v>0</v>
      </c>
      <c r="F8" s="44">
        <f>'3. Entry Exit'!$C$6</f>
        <v>23</v>
      </c>
      <c r="G8" s="44">
        <f>'3. Entry Exit'!$F$4</f>
        <v>29</v>
      </c>
      <c r="H8" s="44">
        <f>'3. Entry Exit'!$F$3</f>
        <v>0</v>
      </c>
      <c r="I8" s="80">
        <f t="shared" ref="I8:I15" si="2">+H8/G8</f>
        <v>0</v>
      </c>
      <c r="J8" s="81">
        <v>0.4</v>
      </c>
      <c r="K8" s="57">
        <v>8</v>
      </c>
      <c r="L8" s="72">
        <f t="shared" si="0"/>
        <v>0</v>
      </c>
      <c r="M8" s="114" t="str">
        <f t="shared" si="1"/>
        <v>Incomplete</v>
      </c>
      <c r="N8" s="38"/>
      <c r="O8" s="38"/>
      <c r="P8" s="38"/>
      <c r="Q8" s="38"/>
    </row>
    <row r="9" spans="1:17" s="24" customFormat="1" ht="15" customHeight="1">
      <c r="A9" s="69">
        <f>'4. Parking Area'!$A$1</f>
        <v>4</v>
      </c>
      <c r="B9" s="113" t="str">
        <f>'4. Parking Area'!$B$1</f>
        <v>Parking Area</v>
      </c>
      <c r="C9" s="69">
        <f>'4. Parking Area'!$C$3</f>
        <v>10</v>
      </c>
      <c r="D9" s="43">
        <f>'4. Parking Area'!$C$4</f>
        <v>22</v>
      </c>
      <c r="E9" s="44">
        <f>'4. Parking Area'!$C$5</f>
        <v>0</v>
      </c>
      <c r="F9" s="44">
        <f>'4. Parking Area'!$C$6</f>
        <v>22</v>
      </c>
      <c r="G9" s="44">
        <f>'4. Parking Area'!$F$4</f>
        <v>43</v>
      </c>
      <c r="H9" s="44">
        <f>'4. Parking Area'!$F$3</f>
        <v>0</v>
      </c>
      <c r="I9" s="80">
        <f t="shared" si="2"/>
        <v>0</v>
      </c>
      <c r="J9" s="81">
        <v>0.4</v>
      </c>
      <c r="K9" s="57">
        <v>20</v>
      </c>
      <c r="L9" s="72">
        <f t="shared" si="0"/>
        <v>0</v>
      </c>
      <c r="M9" s="114" t="str">
        <f t="shared" si="1"/>
        <v>Incomplete</v>
      </c>
      <c r="N9" s="38"/>
      <c r="O9" s="38"/>
      <c r="P9" s="38"/>
      <c r="Q9" s="38"/>
    </row>
    <row r="10" spans="1:17" s="24" customFormat="1" ht="15" customHeight="1">
      <c r="A10" s="69">
        <f>'5. Ramps'!$A$1</f>
        <v>5</v>
      </c>
      <c r="B10" s="113" t="str">
        <f>'5. Ramps'!$B$1</f>
        <v>Vehicle Ramps</v>
      </c>
      <c r="C10" s="69">
        <f>'5. Ramps'!$C$3</f>
        <v>7</v>
      </c>
      <c r="D10" s="43">
        <f>'5. Ramps'!$C$4</f>
        <v>7</v>
      </c>
      <c r="E10" s="44">
        <f>'5. Ramps'!$C$5</f>
        <v>0</v>
      </c>
      <c r="F10" s="44">
        <f>'5. Ramps'!$C$6</f>
        <v>7</v>
      </c>
      <c r="G10" s="44">
        <f>'5. Ramps'!$F$4</f>
        <v>13</v>
      </c>
      <c r="H10" s="44">
        <f>'5. Ramps'!$F$3</f>
        <v>0</v>
      </c>
      <c r="I10" s="80">
        <f t="shared" si="2"/>
        <v>0</v>
      </c>
      <c r="J10" s="81">
        <v>0.4</v>
      </c>
      <c r="K10" s="57">
        <v>8</v>
      </c>
      <c r="L10" s="72">
        <f t="shared" si="0"/>
        <v>0</v>
      </c>
      <c r="M10" s="114" t="str">
        <f t="shared" si="1"/>
        <v>Incomplete</v>
      </c>
      <c r="N10" s="38"/>
      <c r="O10" s="38"/>
      <c r="P10" s="38"/>
      <c r="Q10" s="38"/>
    </row>
    <row r="11" spans="1:17" s="24" customFormat="1" ht="15" customHeight="1">
      <c r="A11" s="69">
        <f>'6. Pedestrian Access'!$A$1</f>
        <v>6</v>
      </c>
      <c r="B11" s="113" t="str">
        <f>'6. Pedestrian Access'!$B$1</f>
        <v>Pedestrian Access</v>
      </c>
      <c r="C11" s="69">
        <f>'6. Pedestrian Access'!$C$3</f>
        <v>13</v>
      </c>
      <c r="D11" s="43">
        <f>'6. Pedestrian Access'!$C$4</f>
        <v>23</v>
      </c>
      <c r="E11" s="44">
        <f>'6. Pedestrian Access'!$C$5</f>
        <v>0</v>
      </c>
      <c r="F11" s="44">
        <f>'6. Pedestrian Access'!$C$6</f>
        <v>23</v>
      </c>
      <c r="G11" s="44">
        <f>'6. Pedestrian Access'!$F$4</f>
        <v>43</v>
      </c>
      <c r="H11" s="44">
        <f>'6. Pedestrian Access'!$F$3</f>
        <v>0</v>
      </c>
      <c r="I11" s="80">
        <f t="shared" si="2"/>
        <v>0</v>
      </c>
      <c r="J11" s="81">
        <v>0.4</v>
      </c>
      <c r="K11" s="57">
        <v>16</v>
      </c>
      <c r="L11" s="72">
        <f t="shared" si="0"/>
        <v>0</v>
      </c>
      <c r="M11" s="114" t="str">
        <f t="shared" si="1"/>
        <v>Incomplete</v>
      </c>
      <c r="N11" s="38"/>
      <c r="O11" s="38"/>
      <c r="P11" s="38"/>
      <c r="Q11" s="38"/>
    </row>
    <row r="12" spans="1:17" s="24" customFormat="1" ht="15" customHeight="1">
      <c r="A12" s="69">
        <v>7</v>
      </c>
      <c r="B12" s="113" t="str">
        <f>'7. Security equipment'!$B$1</f>
        <v>Security Equipment</v>
      </c>
      <c r="C12" s="69">
        <f>'7. Security equipment'!$C$3</f>
        <v>8</v>
      </c>
      <c r="D12" s="43">
        <f>'7. Security equipment'!$C$4</f>
        <v>16</v>
      </c>
      <c r="E12" s="44">
        <f>'7. Security equipment'!$C$5</f>
        <v>0</v>
      </c>
      <c r="F12" s="44">
        <f>'7. Security equipment'!$C$6</f>
        <v>16</v>
      </c>
      <c r="G12" s="44">
        <f>'7. Security equipment'!$F$4</f>
        <v>35</v>
      </c>
      <c r="H12" s="44">
        <f>'7. Security equipment'!$F$3</f>
        <v>0</v>
      </c>
      <c r="I12" s="80">
        <f t="shared" si="2"/>
        <v>0</v>
      </c>
      <c r="J12" s="81">
        <v>0.4</v>
      </c>
      <c r="K12" s="57">
        <v>8</v>
      </c>
      <c r="L12" s="72">
        <f t="shared" si="0"/>
        <v>0</v>
      </c>
      <c r="M12" s="114" t="str">
        <f t="shared" si="1"/>
        <v>Incomplete</v>
      </c>
      <c r="N12" s="38"/>
      <c r="O12" s="38"/>
      <c r="P12" s="38"/>
      <c r="Q12" s="38"/>
    </row>
    <row r="13" spans="1:17" s="24" customFormat="1" ht="15" customHeight="1">
      <c r="A13" s="69">
        <v>8</v>
      </c>
      <c r="B13" s="113" t="str">
        <f>'8. Wayfinding'!$B$1</f>
        <v>Wayfinding Inside and Outside</v>
      </c>
      <c r="C13" s="69">
        <f>'8. Wayfinding'!$C$3</f>
        <v>11</v>
      </c>
      <c r="D13" s="43">
        <f>'8. Wayfinding'!$C$4</f>
        <v>18</v>
      </c>
      <c r="E13" s="44">
        <f>'8. Wayfinding'!$C$5</f>
        <v>0</v>
      </c>
      <c r="F13" s="44">
        <f>'8. Wayfinding'!$C$6</f>
        <v>18</v>
      </c>
      <c r="G13" s="44">
        <f>'8. Wayfinding'!$F$4</f>
        <v>31</v>
      </c>
      <c r="H13" s="44">
        <f>'8. Wayfinding'!$F$3</f>
        <v>0</v>
      </c>
      <c r="I13" s="80">
        <f t="shared" si="2"/>
        <v>0</v>
      </c>
      <c r="J13" s="81">
        <v>0.4</v>
      </c>
      <c r="K13" s="57">
        <v>8</v>
      </c>
      <c r="L13" s="72">
        <f t="shared" si="0"/>
        <v>0</v>
      </c>
      <c r="M13" s="114" t="str">
        <f t="shared" si="1"/>
        <v>Incomplete</v>
      </c>
      <c r="N13" s="38"/>
      <c r="O13" s="38"/>
      <c r="P13" s="38"/>
      <c r="Q13" s="38"/>
    </row>
    <row r="14" spans="1:17" s="24" customFormat="1" ht="15" customHeight="1">
      <c r="A14" s="69">
        <v>9</v>
      </c>
      <c r="B14" s="113" t="str">
        <f>'9. Comfort'!$B$1</f>
        <v>Comfort and Miscellaneous</v>
      </c>
      <c r="C14" s="69">
        <f>'9. Comfort'!$C$3</f>
        <v>10</v>
      </c>
      <c r="D14" s="43">
        <f>'9. Comfort'!$C$4</f>
        <v>27</v>
      </c>
      <c r="E14" s="44">
        <f>'9. Comfort'!$C$5</f>
        <v>0</v>
      </c>
      <c r="F14" s="44">
        <f>'9. Comfort'!$C$6</f>
        <v>27</v>
      </c>
      <c r="G14" s="44">
        <f>'9. Comfort'!$F$4</f>
        <v>34</v>
      </c>
      <c r="H14" s="44">
        <f>'9. Comfort'!$F$3</f>
        <v>0</v>
      </c>
      <c r="I14" s="80">
        <f t="shared" si="2"/>
        <v>0</v>
      </c>
      <c r="J14" s="81">
        <v>0.3</v>
      </c>
      <c r="K14" s="57">
        <v>8</v>
      </c>
      <c r="L14" s="72">
        <f t="shared" si="0"/>
        <v>0</v>
      </c>
      <c r="M14" s="114" t="str">
        <f t="shared" si="1"/>
        <v>Incomplete</v>
      </c>
      <c r="N14" s="38"/>
      <c r="O14" s="38"/>
      <c r="P14" s="38"/>
      <c r="Q14" s="38"/>
    </row>
    <row r="15" spans="1:17" s="24" customFormat="1" ht="15" customHeight="1">
      <c r="A15" s="70">
        <v>10</v>
      </c>
      <c r="B15" s="115" t="str">
        <f>'10. Energy Environment'!$B$1</f>
        <v>Energy and Environment</v>
      </c>
      <c r="C15" s="70">
        <f>'10. Energy Environment'!$C$3</f>
        <v>10</v>
      </c>
      <c r="D15" s="45">
        <f>'10. Energy Environment'!$C$4</f>
        <v>11</v>
      </c>
      <c r="E15" s="46">
        <f>'10. Energy Environment'!$C$5</f>
        <v>0</v>
      </c>
      <c r="F15" s="46">
        <f>'10. Energy Environment'!$C$6</f>
        <v>11</v>
      </c>
      <c r="G15" s="46">
        <f>'10. Energy Environment'!$F$4</f>
        <v>20</v>
      </c>
      <c r="H15" s="46">
        <f>'10. Energy Environment'!$F$3</f>
        <v>0</v>
      </c>
      <c r="I15" s="82">
        <f t="shared" si="2"/>
        <v>0</v>
      </c>
      <c r="J15" s="77">
        <v>0.15</v>
      </c>
      <c r="K15" s="58">
        <v>8</v>
      </c>
      <c r="L15" s="73">
        <f t="shared" si="0"/>
        <v>0</v>
      </c>
      <c r="M15" s="116" t="str">
        <f t="shared" si="1"/>
        <v>Incomplete</v>
      </c>
      <c r="N15" s="38"/>
      <c r="O15" s="38"/>
      <c r="P15" s="38"/>
      <c r="Q15" s="38"/>
    </row>
    <row r="16" spans="1:17" ht="13.9">
      <c r="A16" s="416" t="str">
        <f>Tags!B50</f>
        <v>Subtotals</v>
      </c>
      <c r="B16" s="417"/>
      <c r="C16" s="47">
        <f t="shared" ref="C16:H16" si="3">SUM(C7:C15)</f>
        <v>88</v>
      </c>
      <c r="D16" s="48">
        <f t="shared" si="3"/>
        <v>164</v>
      </c>
      <c r="E16" s="48">
        <f t="shared" si="3"/>
        <v>0</v>
      </c>
      <c r="F16" s="48">
        <f t="shared" si="3"/>
        <v>164</v>
      </c>
      <c r="G16" s="48">
        <f t="shared" si="3"/>
        <v>294</v>
      </c>
      <c r="H16" s="49">
        <f t="shared" si="3"/>
        <v>0</v>
      </c>
      <c r="I16" s="75"/>
      <c r="J16" s="75"/>
      <c r="K16" s="59">
        <f>SUM(K7:K15)</f>
        <v>100</v>
      </c>
      <c r="L16" s="59">
        <f>SUM(L7:L15)</f>
        <v>0</v>
      </c>
      <c r="M16" s="24"/>
      <c r="N16" s="38"/>
      <c r="O16" s="38"/>
      <c r="P16" s="38"/>
      <c r="Q16" s="38"/>
    </row>
    <row r="17" spans="1:16">
      <c r="A17" s="24"/>
      <c r="B17" s="24"/>
      <c r="C17" s="24"/>
      <c r="D17" s="24"/>
      <c r="E17" s="24"/>
      <c r="F17" s="24"/>
      <c r="G17" s="24"/>
      <c r="H17" s="24"/>
      <c r="I17" s="24"/>
      <c r="J17" s="24"/>
      <c r="K17" s="24"/>
      <c r="L17" s="24"/>
      <c r="M17" s="38"/>
      <c r="N17" s="38"/>
      <c r="O17" s="38"/>
      <c r="P17" s="38"/>
    </row>
    <row r="18" spans="1:16">
      <c r="A18" s="68" t="str">
        <f>Minus!$A$1</f>
        <v>M</v>
      </c>
      <c r="B18" s="111" t="str">
        <f>Minus!$B$1</f>
        <v>Minus Points</v>
      </c>
      <c r="C18" s="68">
        <f>Minus!$C$3</f>
        <v>8</v>
      </c>
      <c r="D18" s="41">
        <f>Minus!$C$4</f>
        <v>23</v>
      </c>
      <c r="E18" s="42">
        <f>Minus!$C$5</f>
        <v>0</v>
      </c>
      <c r="F18" s="42">
        <f>Minus!$C$6</f>
        <v>23</v>
      </c>
      <c r="G18" s="42">
        <f>Minus!F4</f>
        <v>-60</v>
      </c>
      <c r="H18" s="42">
        <f>Minus!F3</f>
        <v>0</v>
      </c>
      <c r="I18" s="83">
        <f>H18/G18</f>
        <v>0</v>
      </c>
      <c r="J18" s="24"/>
      <c r="K18" s="56">
        <v>-15</v>
      </c>
      <c r="L18" s="62">
        <f>K18*I18</f>
        <v>0</v>
      </c>
      <c r="M18" s="38"/>
      <c r="N18" s="38"/>
      <c r="O18" s="38"/>
      <c r="P18" s="38"/>
    </row>
    <row r="19" spans="1:16">
      <c r="A19" s="70" t="str">
        <f>Bonus!$A$1</f>
        <v>B</v>
      </c>
      <c r="B19" s="115" t="str">
        <f>Bonus!$B$1</f>
        <v>Bonus Points</v>
      </c>
      <c r="C19" s="70">
        <f>Bonus!$C$3</f>
        <v>7</v>
      </c>
      <c r="D19" s="45">
        <f>Bonus!$C$4</f>
        <v>16</v>
      </c>
      <c r="E19" s="46">
        <f>Bonus!$C$5</f>
        <v>0</v>
      </c>
      <c r="F19" s="46">
        <f>Bonus!$C$6</f>
        <v>16</v>
      </c>
      <c r="G19" s="46">
        <f>Bonus!F4</f>
        <v>33</v>
      </c>
      <c r="H19" s="46">
        <f>Bonus!F3</f>
        <v>0</v>
      </c>
      <c r="I19" s="84">
        <f>H19/G19</f>
        <v>0</v>
      </c>
      <c r="J19" s="24"/>
      <c r="K19" s="58">
        <v>15</v>
      </c>
      <c r="L19" s="73">
        <f>I19*K19</f>
        <v>0</v>
      </c>
      <c r="M19" s="38"/>
      <c r="N19" s="38"/>
      <c r="O19" s="38"/>
      <c r="P19" s="38"/>
    </row>
    <row r="20" spans="1:16" ht="13.9">
      <c r="A20" s="416" t="str">
        <f>A16</f>
        <v>Subtotals</v>
      </c>
      <c r="B20" s="417"/>
      <c r="C20" s="47">
        <f>SUM(C18:C19)</f>
        <v>15</v>
      </c>
      <c r="D20" s="48">
        <f t="shared" ref="D20:H20" si="4">SUM(D18:D19)</f>
        <v>39</v>
      </c>
      <c r="E20" s="48">
        <f t="shared" si="4"/>
        <v>0</v>
      </c>
      <c r="F20" s="48">
        <f t="shared" si="4"/>
        <v>39</v>
      </c>
      <c r="G20" s="48">
        <f t="shared" si="4"/>
        <v>-27</v>
      </c>
      <c r="H20" s="49">
        <f t="shared" si="4"/>
        <v>0</v>
      </c>
      <c r="I20" s="24"/>
      <c r="J20" s="24"/>
      <c r="K20" s="59">
        <f>SUM(K18:K19)</f>
        <v>0</v>
      </c>
      <c r="L20" s="59">
        <f>SUM(L18:L19)</f>
        <v>0</v>
      </c>
      <c r="M20" s="38"/>
      <c r="N20" s="38"/>
      <c r="O20" s="38"/>
      <c r="P20" s="38"/>
    </row>
    <row r="21" spans="1:16">
      <c r="A21" s="38"/>
      <c r="B21" s="38"/>
      <c r="C21" s="38"/>
      <c r="D21" s="38"/>
      <c r="E21" s="38"/>
      <c r="F21" s="38"/>
      <c r="G21" s="38"/>
      <c r="H21" s="38"/>
      <c r="I21" s="38"/>
      <c r="J21" s="38"/>
      <c r="K21" s="38"/>
      <c r="L21" s="38"/>
      <c r="M21" s="38"/>
      <c r="N21" s="38"/>
      <c r="O21" s="38"/>
      <c r="P21" s="38"/>
    </row>
    <row r="22" spans="1:16" ht="15">
      <c r="A22" s="436" t="str">
        <f>Tags!B51</f>
        <v>Totals</v>
      </c>
      <c r="B22" s="437"/>
      <c r="C22" s="178">
        <f t="shared" ref="C22:H22" si="5">C20+C16</f>
        <v>103</v>
      </c>
      <c r="D22" s="50">
        <f t="shared" si="5"/>
        <v>203</v>
      </c>
      <c r="E22" s="50">
        <f t="shared" si="5"/>
        <v>0</v>
      </c>
      <c r="F22" s="50">
        <f t="shared" si="5"/>
        <v>203</v>
      </c>
      <c r="G22" s="50">
        <f t="shared" si="5"/>
        <v>267</v>
      </c>
      <c r="H22" s="51">
        <f t="shared" si="5"/>
        <v>0</v>
      </c>
      <c r="I22" s="24"/>
      <c r="J22" s="24"/>
      <c r="K22" s="59">
        <f>K16+K20</f>
        <v>100</v>
      </c>
      <c r="L22" s="59">
        <f>L16+L20</f>
        <v>0</v>
      </c>
      <c r="M22" s="38"/>
      <c r="N22" s="38"/>
      <c r="O22" s="38"/>
      <c r="P22" s="38"/>
    </row>
    <row r="23" spans="1:16" ht="13.9" thickBot="1">
      <c r="A23" s="24"/>
      <c r="B23" s="24"/>
      <c r="C23" s="24"/>
      <c r="D23" s="24"/>
      <c r="E23" s="24"/>
      <c r="F23" s="24"/>
      <c r="G23" s="24"/>
      <c r="H23" s="24"/>
      <c r="I23" s="24"/>
      <c r="J23" s="24"/>
      <c r="K23" s="24"/>
      <c r="L23" s="24"/>
      <c r="M23" s="38"/>
      <c r="N23" s="38"/>
      <c r="O23" s="38"/>
      <c r="P23" s="38"/>
    </row>
    <row r="24" spans="1:16" ht="23.1" customHeight="1">
      <c r="A24" s="429" t="str">
        <f>UPPER(Tags!B52)</f>
        <v>MINIMUM REQUIREMENT FOR ESPA AWARD</v>
      </c>
      <c r="B24" s="430"/>
      <c r="C24" s="430"/>
      <c r="D24" s="431"/>
      <c r="E24" s="435">
        <v>0.5</v>
      </c>
      <c r="F24" s="398" t="str">
        <f>UPPER(B4)</f>
        <v>MANDATORY MINIMUM CONDITIONS</v>
      </c>
      <c r="G24" s="399"/>
      <c r="H24" s="399"/>
      <c r="I24" s="400"/>
      <c r="J24" s="407" t="str">
        <f>IF(M4=pass,"OK",IF(M4=fail,"KO","-"))</f>
        <v>KO</v>
      </c>
      <c r="K24" s="386" t="str">
        <f>UPPER(Tags!B54)</f>
        <v>ESPA AWARD</v>
      </c>
      <c r="L24" s="386"/>
      <c r="M24" s="387"/>
    </row>
    <row r="25" spans="1:16" ht="23.1" customHeight="1">
      <c r="A25" s="421"/>
      <c r="B25" s="422"/>
      <c r="C25" s="422"/>
      <c r="D25" s="423"/>
      <c r="E25" s="427"/>
      <c r="F25" s="401"/>
      <c r="G25" s="402"/>
      <c r="H25" s="402"/>
      <c r="I25" s="403"/>
      <c r="J25" s="408"/>
      <c r="K25" s="388"/>
      <c r="L25" s="388"/>
      <c r="M25" s="389"/>
    </row>
    <row r="26" spans="1:16" ht="23.1" customHeight="1">
      <c r="A26" s="432"/>
      <c r="B26" s="433"/>
      <c r="C26" s="433"/>
      <c r="D26" s="434"/>
      <c r="E26" s="427"/>
      <c r="F26" s="404"/>
      <c r="G26" s="405"/>
      <c r="H26" s="405"/>
      <c r="I26" s="406"/>
      <c r="J26" s="408"/>
      <c r="K26" s="388"/>
      <c r="L26" s="388"/>
      <c r="M26" s="389"/>
    </row>
    <row r="27" spans="1:16" ht="21" customHeight="1">
      <c r="A27" s="418" t="str">
        <f>UPPER(Tags!B44)</f>
        <v>% OBTAINED</v>
      </c>
      <c r="B27" s="419"/>
      <c r="C27" s="419"/>
      <c r="D27" s="420"/>
      <c r="E27" s="427">
        <f>L22/K22</f>
        <v>0</v>
      </c>
      <c r="F27" s="409" t="str">
        <f>UPPER(Tags!B53)</f>
        <v>CATEGORIES MINIMUM POINTS</v>
      </c>
      <c r="G27" s="410"/>
      <c r="H27" s="410"/>
      <c r="I27" s="411"/>
      <c r="J27" s="408" t="str">
        <f>IF(COUNTIF(M7:M15,pass)&lt;9,"KO","OK")</f>
        <v>KO</v>
      </c>
      <c r="K27" s="390" t="str">
        <f>UPPER(IF(AND(E27&gt;=E24,J24="OK",J27="OK"),yes,IF(OR(E27&lt;E24,J24="KO",J27="KO"),no,"NA")))</f>
        <v>NO</v>
      </c>
      <c r="L27" s="390"/>
      <c r="M27" s="391"/>
    </row>
    <row r="28" spans="1:16" ht="21" customHeight="1">
      <c r="A28" s="421"/>
      <c r="B28" s="422"/>
      <c r="C28" s="422"/>
      <c r="D28" s="423"/>
      <c r="E28" s="427"/>
      <c r="F28" s="401"/>
      <c r="G28" s="402"/>
      <c r="H28" s="402"/>
      <c r="I28" s="403"/>
      <c r="J28" s="408"/>
      <c r="K28" s="392"/>
      <c r="L28" s="392"/>
      <c r="M28" s="393"/>
    </row>
    <row r="29" spans="1:16" ht="21.95" customHeight="1" thickBot="1">
      <c r="A29" s="424"/>
      <c r="B29" s="425"/>
      <c r="C29" s="425"/>
      <c r="D29" s="426"/>
      <c r="E29" s="428"/>
      <c r="F29" s="412"/>
      <c r="G29" s="413"/>
      <c r="H29" s="413"/>
      <c r="I29" s="414"/>
      <c r="J29" s="415"/>
      <c r="K29" s="394"/>
      <c r="L29" s="394"/>
      <c r="M29" s="395"/>
    </row>
    <row r="30" spans="1:16" hidden="1"/>
  </sheetData>
  <sheetProtection algorithmName="SHA-512" hashValue="hhn0ZjqnGfvey0UFDo1WHGjb0no7Xe6C2ZCytllj3eyFrbhWiLKySWO2H4QVJ1e39vU6SfafXE/qYoNd1ACyoQ==" saltValue="FH85IJLb2GlTMBaP3S6LVg==" spinCount="100000" sheet="1" objects="1" scenarios="1" formatRows="0" selectLockedCells="1"/>
  <mergeCells count="15">
    <mergeCell ref="K24:M26"/>
    <mergeCell ref="K27:M29"/>
    <mergeCell ref="A3:B3"/>
    <mergeCell ref="A6:B6"/>
    <mergeCell ref="F24:I26"/>
    <mergeCell ref="J24:J26"/>
    <mergeCell ref="F27:I29"/>
    <mergeCell ref="J27:J29"/>
    <mergeCell ref="A16:B16"/>
    <mergeCell ref="A20:B20"/>
    <mergeCell ref="A27:D29"/>
    <mergeCell ref="E27:E29"/>
    <mergeCell ref="A24:D26"/>
    <mergeCell ref="E24:E26"/>
    <mergeCell ref="A22:B22"/>
  </mergeCells>
  <phoneticPr fontId="24" type="noConversion"/>
  <printOptions horizontalCentered="1"/>
  <pageMargins left="0.71" right="0.71" top="0.75000000000000011" bottom="0.75000000000000011" header="0.31" footer="0.31"/>
  <pageSetup paperSize="9" scale="62" orientation="landscape" horizontalDpi="300" verticalDpi="300"/>
  <headerFooter>
    <oddHeader>&amp;L&amp;"Calibri,Bold"&amp;K000000EPA - Checklist for the European Standard Parking Award</oddHeader>
    <oddFooter>&amp;L&amp;K000000[File]&amp;A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40"/>
  <sheetViews>
    <sheetView showGridLines="0" zoomScale="115" zoomScaleNormal="115" zoomScalePageLayoutView="115" workbookViewId="0">
      <pane ySplit="1" topLeftCell="A2" activePane="bottomLeft" state="frozenSplit"/>
      <selection activeCell="C11" sqref="C11:E11"/>
      <selection pane="bottomLeft" activeCell="C4" sqref="C4"/>
    </sheetView>
  </sheetViews>
  <sheetFormatPr baseColWidth="10" defaultColWidth="0" defaultRowHeight="13.5" zeroHeight="1"/>
  <cols>
    <col min="1" max="1" width="4.3984375" style="7" bestFit="1" customWidth="1"/>
    <col min="2" max="2" width="85.1328125" style="7" customWidth="1"/>
    <col min="3" max="3" width="14" style="7" customWidth="1"/>
    <col min="4" max="4" width="13.265625" style="7" customWidth="1"/>
    <col min="5" max="5" width="61.3984375" style="7" customWidth="1"/>
    <col min="6" max="6" width="0.3984375" style="7" customWidth="1"/>
    <col min="7" max="16384" width="8.86328125" style="7" hidden="1"/>
  </cols>
  <sheetData>
    <row r="1" spans="1:5" ht="24" customHeight="1">
      <c r="A1" s="52">
        <v>1</v>
      </c>
      <c r="B1" s="53" t="str">
        <f>Languages!B4</f>
        <v>Mandatory Minimum Conditions</v>
      </c>
      <c r="C1" s="53"/>
      <c r="D1" s="53"/>
      <c r="E1" s="124" t="str">
        <f>IF(C18&gt;0,Tags!B21,Tags!B20)</f>
        <v>Incompleted</v>
      </c>
    </row>
    <row r="2" spans="1:5">
      <c r="A2" s="24"/>
      <c r="B2" s="24"/>
      <c r="C2" s="24"/>
      <c r="D2" s="24"/>
      <c r="E2" s="24"/>
    </row>
    <row r="3" spans="1:5" ht="19.350000000000001" customHeight="1">
      <c r="A3" s="5"/>
      <c r="B3" s="5"/>
      <c r="C3" s="4" t="str">
        <f>Tags!B22</f>
        <v>Compliant</v>
      </c>
      <c r="D3" s="443" t="str">
        <f>Tags!B23</f>
        <v>Comments</v>
      </c>
      <c r="E3" s="444"/>
    </row>
    <row r="4" spans="1:5" ht="24" customHeight="1">
      <c r="A4" s="5" t="s">
        <v>17</v>
      </c>
      <c r="B4" s="10" t="str">
        <f>Languages!B5</f>
        <v>Car park must be for public use</v>
      </c>
      <c r="C4" s="93"/>
      <c r="D4" s="438"/>
      <c r="E4" s="439"/>
    </row>
    <row r="5" spans="1:5" ht="38.1" customHeight="1">
      <c r="A5" s="5" t="s">
        <v>18</v>
      </c>
      <c r="B5" s="10" t="str">
        <f>Languages!B6</f>
        <v>Minimum headroom = 1.90 m, generally in the public areas. Incidental lower obstacles must be clearly marked.</v>
      </c>
      <c r="C5" s="93"/>
      <c r="D5" s="438"/>
      <c r="E5" s="439"/>
    </row>
    <row r="6" spans="1:5" ht="38.1" customHeight="1">
      <c r="A6" s="5" t="s">
        <v>19</v>
      </c>
      <c r="B6" s="10" t="str">
        <f>Languages!B8</f>
        <v>There must be at least one dedicated entry and exit lane although additional tidal flow lanes are allowed.</v>
      </c>
      <c r="C6" s="93"/>
      <c r="D6" s="438"/>
      <c r="E6" s="439"/>
    </row>
    <row r="7" spans="1:5" ht="38.1" customHeight="1">
      <c r="A7" s="5" t="s">
        <v>20</v>
      </c>
      <c r="B7" s="10" t="str">
        <f>Languages!B9</f>
        <v>70% of bays must be at least 2.30m wide. For renovated car parks, over ten years old, minimum bay width of 2.25m is allowed (in that case a penalty applies - check M8).</v>
      </c>
      <c r="C7" s="93"/>
      <c r="D7" s="438"/>
      <c r="E7" s="439"/>
    </row>
    <row r="8" spans="1:5" ht="38.1" customHeight="1">
      <c r="A8" s="5" t="s">
        <v>21</v>
      </c>
      <c r="B8" s="10" t="str">
        <f>Languages!B11</f>
        <v>All straight ramps for  unidirectional traffic must be minimum 2.7 metres wide. Bidirectional ramps must be at least 6m wide with lane markings. Ramp width is measured between walls or pillars</v>
      </c>
      <c r="C8" s="93"/>
      <c r="D8" s="438"/>
      <c r="E8" s="439"/>
    </row>
    <row r="9" spans="1:5" ht="51.95" customHeight="1">
      <c r="A9" s="11" t="s">
        <v>22</v>
      </c>
      <c r="B9" s="10" t="str">
        <f>Languages!B12</f>
        <v xml:space="preserve">Curved ramps for single directional traffic must have an external radius of minimum 8.00 metres with lane width of minimum 3.5 metres. For bidirectional curved ramps this applies for the inner driving lane. The outside driving lane must be minimum 3.5 metres wide as well. </v>
      </c>
      <c r="C9" s="93"/>
      <c r="D9" s="438"/>
      <c r="E9" s="439"/>
    </row>
    <row r="10" spans="1:5" ht="38.1" customHeight="1">
      <c r="A10" s="12" t="s">
        <v>23</v>
      </c>
      <c r="B10" s="10" t="str">
        <f>Languages!B13</f>
        <v>Ramp gradients must not exceed 20% , to be measured at the middle of driving lane.  At bidirectional curved ramps this applies for the inner (steepest) driving lane.</v>
      </c>
      <c r="C10" s="93"/>
      <c r="D10" s="438"/>
      <c r="E10" s="439"/>
    </row>
    <row r="11" spans="1:5" ht="38.1" customHeight="1">
      <c r="A11" s="5" t="s">
        <v>24</v>
      </c>
      <c r="B11" s="10" t="str">
        <f>Languages!B14</f>
        <v>If the car park has paid parking and access control by barriers or gates, staff must be contactable at the pay point/exit point and secured pedestrian entries.</v>
      </c>
      <c r="C11" s="93"/>
      <c r="D11" s="438"/>
      <c r="E11" s="439"/>
    </row>
    <row r="12" spans="1:5" ht="24" customHeight="1">
      <c r="A12" s="5" t="s">
        <v>25</v>
      </c>
      <c r="B12" s="10" t="str">
        <f>Languages!B15</f>
        <v>Receipt for payment must be provided when requested.</v>
      </c>
      <c r="C12" s="93"/>
      <c r="D12" s="438"/>
      <c r="E12" s="439"/>
    </row>
    <row r="13" spans="1:5" ht="38.1" customHeight="1">
      <c r="A13" s="5" t="s">
        <v>44</v>
      </c>
      <c r="B13" s="10" t="str">
        <f>Languages!B16</f>
        <v>All turning movements must be capable of being completed without reversing (moving in/out the parking bay and cul-de-sacs excluded)</v>
      </c>
      <c r="C13" s="93"/>
      <c r="D13" s="438"/>
      <c r="E13" s="439"/>
    </row>
    <row r="14" spans="1:5" ht="24" customHeight="1">
      <c r="A14" s="5" t="s">
        <v>1798</v>
      </c>
      <c r="B14" s="10" t="str">
        <f>Languages!B17</f>
        <v>Average light levels on parking area at floor is at minimum 20 Lux</v>
      </c>
      <c r="C14" s="93"/>
      <c r="D14" s="438"/>
      <c r="E14" s="439"/>
    </row>
    <row r="15" spans="1:5">
      <c r="A15" s="24"/>
      <c r="B15" s="24"/>
      <c r="C15" s="24"/>
      <c r="D15" s="24"/>
      <c r="E15" s="24"/>
    </row>
    <row r="16" spans="1:5">
      <c r="A16" s="24"/>
      <c r="B16" s="14" t="str">
        <f>Tags!B24</f>
        <v>Number of Ok:</v>
      </c>
      <c r="C16" s="162">
        <f>COUNTIF($C$4:$C$14,Options!B20)</f>
        <v>0</v>
      </c>
      <c r="D16" s="24"/>
      <c r="E16" s="440" t="str">
        <f>Evaluation!M4</f>
        <v>Fail</v>
      </c>
    </row>
    <row r="17" spans="1:5">
      <c r="A17" s="24"/>
      <c r="B17" s="14" t="str">
        <f>Tags!B25</f>
        <v>Number of Fails:</v>
      </c>
      <c r="C17" s="162">
        <f>COUNTIF($C$4:$C$14,Options!B21)</f>
        <v>0</v>
      </c>
      <c r="D17" s="24"/>
      <c r="E17" s="441"/>
    </row>
    <row r="18" spans="1:5">
      <c r="B18" s="14" t="str">
        <f>Tags!B26</f>
        <v>Not Evaluated:</v>
      </c>
      <c r="C18" s="162">
        <f>COUNTA(A4:A14)-C17-C16</f>
        <v>11</v>
      </c>
      <c r="D18" s="24"/>
      <c r="E18" s="442"/>
    </row>
    <row r="19" spans="1:5" ht="15">
      <c r="A19" s="175" t="str">
        <f>Tags!B60</f>
        <v>Notes</v>
      </c>
    </row>
    <row r="20" spans="1:5"/>
    <row r="21" spans="1:5"/>
    <row r="22" spans="1:5"/>
    <row r="23" spans="1:5"/>
    <row r="24" spans="1:5"/>
    <row r="25" spans="1:5"/>
    <row r="26" spans="1:5"/>
    <row r="27" spans="1:5"/>
    <row r="28" spans="1:5"/>
    <row r="29" spans="1:5"/>
    <row r="30" spans="1:5"/>
    <row r="31" spans="1:5"/>
    <row r="32" spans="1:5"/>
    <row r="33"/>
    <row r="34"/>
    <row r="35"/>
    <row r="36"/>
    <row r="37"/>
    <row r="38" hidden="1"/>
    <row r="39" hidden="1"/>
    <row r="40" hidden="1"/>
  </sheetData>
  <sheetProtection algorithmName="SHA-512" hashValue="hMUkMzPBGNk5XHJ0VendBQyyUCR110/EZTFc1bVW4dhVnUWXrOUY+JHMiy72FLHzXxCj8zJ8X6ZNJZa2PH2ZbQ==" saltValue="nViyaAkb5wyk1GFc1mx02w==" spinCount="100000" sheet="1" objects="1" scenarios="1" formatRows="0" selectLockedCells="1"/>
  <mergeCells count="13">
    <mergeCell ref="D13:E13"/>
    <mergeCell ref="E16:E18"/>
    <mergeCell ref="D3:E3"/>
    <mergeCell ref="D4:E4"/>
    <mergeCell ref="D5:E5"/>
    <mergeCell ref="D6:E6"/>
    <mergeCell ref="D7:E7"/>
    <mergeCell ref="D8:E8"/>
    <mergeCell ref="D9:E9"/>
    <mergeCell ref="D10:E10"/>
    <mergeCell ref="D11:E11"/>
    <mergeCell ref="D12:E12"/>
    <mergeCell ref="D14:E14"/>
  </mergeCells>
  <phoneticPr fontId="24" type="noConversion"/>
  <printOptions horizontalCentered="1"/>
  <pageMargins left="0.71" right="0.71" top="0.75000000000000011" bottom="0.75000000000000011" header="0.31" footer="0.31"/>
  <pageSetup paperSize="9" scale="67" orientation="landscape" horizontalDpi="300" verticalDpi="300"/>
  <headerFooter>
    <oddHeader>&amp;L&amp;"Calibri,Bold"&amp;K000000EPA - Checklist for the European Standard Parking Award</oddHeader>
    <oddFooter>&amp;L&amp;K000000[File]&amp;A</oddFooter>
  </headerFooter>
  <drawing r:id="rId1"/>
  <extLst>
    <ext xmlns:x14="http://schemas.microsoft.com/office/spreadsheetml/2009/9/main" uri="{78C0D931-6437-407d-A8EE-F0AAD7539E65}">
      <x14:conditionalFormattings>
        <x14:conditionalFormatting xmlns:xm="http://schemas.microsoft.com/office/excel/2006/main">
          <x14:cfRule type="expression" priority="3" id="{13324281-6049-BC49-A976-626CF64DB518}">
            <xm:f>$E$1=Tags!$B$21</xm:f>
            <x14:dxf>
              <font>
                <color rgb="FF9C0006"/>
              </font>
            </x14:dxf>
          </x14:cfRule>
          <xm:sqref>E1</xm:sqref>
        </x14:conditionalFormatting>
        <x14:conditionalFormatting xmlns:xm="http://schemas.microsoft.com/office/excel/2006/main">
          <x14:cfRule type="expression" priority="1" id="{880A4E9B-C8EF-7943-BFA9-7F4301E465C1}">
            <xm:f>$E$16=Tags!$B$28</xm:f>
            <x14:dxf>
              <font>
                <color rgb="FF9C0006"/>
              </font>
              <fill>
                <patternFill patternType="solid">
                  <fgColor indexed="64"/>
                  <bgColor theme="5" tint="0.79998168889431442"/>
                </patternFill>
              </fill>
              <border>
                <left style="thin">
                  <color theme="5" tint="-0.499984740745262"/>
                </left>
                <right style="thin">
                  <color theme="5" tint="-0.499984740745262"/>
                </right>
                <top style="thin">
                  <color theme="5" tint="-0.499984740745262"/>
                </top>
                <bottom style="thin">
                  <color theme="5" tint="-0.499984740745262"/>
                </bottom>
              </border>
            </x14:dxf>
          </x14:cfRule>
          <x14:cfRule type="expression" priority="2" id="{83A7DDE4-48A9-D54F-9209-67F251D65373}">
            <xm:f>($E$16=Tags!$B$27)</xm:f>
            <x14:dxf>
              <font>
                <color rgb="FF008000"/>
              </font>
              <fill>
                <patternFill patternType="solid">
                  <fgColor indexed="64"/>
                  <bgColor theme="6" tint="0.79998168889431442"/>
                </patternFill>
              </fill>
              <border>
                <left style="thin">
                  <color theme="6" tint="-0.499984740745262"/>
                </left>
                <right style="thin">
                  <color theme="6" tint="-0.499984740745262"/>
                </right>
                <top style="thin">
                  <color theme="6" tint="-0.499984740745262"/>
                </top>
                <bottom style="thin">
                  <color theme="6" tint="-0.499984740745262"/>
                </bottom>
              </border>
            </x14:dxf>
          </x14:cfRule>
          <xm:sqref>E16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Options!$B$20:$B$21</xm:f>
          </x14:formula1>
          <xm:sqref>C4:C14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49"/>
  <sheetViews>
    <sheetView showGridLines="0" workbookViewId="0">
      <pane ySplit="8" topLeftCell="A15" activePane="bottomLeft" state="frozenSplit"/>
      <selection activeCell="C11" sqref="C11:E11"/>
      <selection pane="bottomLeft" activeCell="H17" sqref="H17"/>
    </sheetView>
  </sheetViews>
  <sheetFormatPr baseColWidth="10" defaultColWidth="0" defaultRowHeight="13.5" zeroHeight="1"/>
  <cols>
    <col min="1" max="1" width="4.86328125" style="24" customWidth="1"/>
    <col min="2" max="2" width="58" style="24" customWidth="1"/>
    <col min="3" max="3" width="15.265625" style="24" customWidth="1"/>
    <col min="4" max="5" width="11" style="24" customWidth="1"/>
    <col min="6" max="6" width="15.86328125" style="24" customWidth="1"/>
    <col min="7" max="7" width="12.3984375" style="24" customWidth="1"/>
    <col min="8" max="8" width="48.3984375" style="24" customWidth="1"/>
    <col min="9" max="9" width="0.3984375" style="24" customWidth="1"/>
    <col min="10" max="16384" width="8.86328125" style="24" hidden="1"/>
  </cols>
  <sheetData>
    <row r="1" spans="1:8" ht="27.95" customHeight="1" thickTop="1" thickBot="1">
      <c r="A1" s="126">
        <v>2</v>
      </c>
      <c r="B1" s="127" t="str">
        <f>Languages!B19</f>
        <v>Lighting</v>
      </c>
      <c r="C1" s="63"/>
      <c r="D1" s="64"/>
      <c r="E1" s="128" t="str">
        <f>IF(C6&gt;0,Tags!B21,Tags!B20)</f>
        <v>Incompleted</v>
      </c>
      <c r="F1" s="129" t="s">
        <v>485</v>
      </c>
      <c r="G1" s="130">
        <f>F5*F6</f>
        <v>0</v>
      </c>
      <c r="H1" s="131">
        <f>F5</f>
        <v>0</v>
      </c>
    </row>
    <row r="2" spans="1:8" ht="12.95" customHeight="1" thickTop="1"/>
    <row r="3" spans="1:8" ht="12.95" customHeight="1">
      <c r="B3" s="132" t="str">
        <f>Tags!B30</f>
        <v>Total Items</v>
      </c>
      <c r="C3" s="123">
        <v>8</v>
      </c>
      <c r="E3" s="132" t="str">
        <f>Tags!B34</f>
        <v>Score</v>
      </c>
      <c r="F3" s="133">
        <f>E18</f>
        <v>0</v>
      </c>
      <c r="G3" s="44"/>
      <c r="H3" s="440" t="str">
        <f>Evaluation!M7</f>
        <v>Incomplete</v>
      </c>
    </row>
    <row r="4" spans="1:8" ht="12.95" customHeight="1">
      <c r="B4" s="132" t="str">
        <f>Tags!B31</f>
        <v>Total Items + SubItems</v>
      </c>
      <c r="C4" s="123">
        <v>17</v>
      </c>
      <c r="E4" s="132" t="str">
        <f>Tags!B35</f>
        <v>Maximum Score</v>
      </c>
      <c r="F4" s="133">
        <f>D18</f>
        <v>46</v>
      </c>
      <c r="G4" s="44"/>
      <c r="H4" s="441"/>
    </row>
    <row r="5" spans="1:8" ht="12.95" customHeight="1">
      <c r="B5" s="132" t="str">
        <f>Tags!B32</f>
        <v>Itens Completed</v>
      </c>
      <c r="C5" s="133">
        <f>COUNTIF(D22:E26,"&gt;=0")+COUNTIF(C9:C15,"&gt;=0")</f>
        <v>0</v>
      </c>
      <c r="E5" s="132" t="str">
        <f>Tags!B36</f>
        <v>Percentage</v>
      </c>
      <c r="F5" s="134">
        <f>F3/F4</f>
        <v>0</v>
      </c>
      <c r="G5" s="135"/>
      <c r="H5" s="441"/>
    </row>
    <row r="6" spans="1:8" ht="12.95" customHeight="1">
      <c r="B6" s="132" t="str">
        <f>Tags!B33</f>
        <v>Not measured</v>
      </c>
      <c r="C6" s="133">
        <f>C4-C5</f>
        <v>17</v>
      </c>
      <c r="E6" s="132" t="str">
        <f>Tags!B37</f>
        <v>Category Value</v>
      </c>
      <c r="F6" s="133">
        <f>VLOOKUP(A1,Evaluation!$A$7:$M$15,11)</f>
        <v>16</v>
      </c>
      <c r="G6" s="44"/>
      <c r="H6" s="442"/>
    </row>
    <row r="7" spans="1:8" ht="12.95" customHeight="1"/>
    <row r="8" spans="1:8" ht="51.95" customHeight="1">
      <c r="A8" s="18">
        <v>2</v>
      </c>
      <c r="B8" s="17" t="str">
        <f>Languages!B20</f>
        <v>Item List (values in Lux, see user manual for measurement)</v>
      </c>
      <c r="C8" s="89" t="str">
        <f>Tags!B56</f>
        <v>Measured value</v>
      </c>
      <c r="D8" s="8" t="str">
        <f>E4</f>
        <v>Maximum Score</v>
      </c>
      <c r="E8" s="8" t="str">
        <f>E3</f>
        <v>Score</v>
      </c>
      <c r="F8" s="8" t="str">
        <f>Tags!D57</f>
        <v>Maximum Contribuition for Final Score</v>
      </c>
      <c r="G8" s="8" t="str">
        <f>Tags!D58</f>
        <v>Contribuition for Final Score</v>
      </c>
      <c r="H8" s="8" t="str">
        <f>Tags!D59</f>
        <v>Remarks</v>
      </c>
    </row>
    <row r="9" spans="1:8" ht="62.1" customHeight="1">
      <c r="A9" s="136" t="s">
        <v>26</v>
      </c>
      <c r="B9" s="137" t="str">
        <f>Languages!B21</f>
        <v>Vehicular entry area; at floor level
•  Above 200 Lux = 5;
•  Between 75– 200 Lux: 0,04 pt per Lux over 75  
•  Below 75 Lux = 0</v>
      </c>
      <c r="C9" s="94"/>
      <c r="D9" s="15">
        <v>5</v>
      </c>
      <c r="E9" s="16">
        <f>IF(C9&gt;200,5,IF(C9&lt;=75,0,(C9-75)*0.04))</f>
        <v>0</v>
      </c>
      <c r="F9" s="60">
        <f>D9/$F$4*$F$6</f>
        <v>1.7391304347826086</v>
      </c>
      <c r="G9" s="60">
        <f>E9/$F$4*$F$6</f>
        <v>0</v>
      </c>
      <c r="H9" s="144"/>
    </row>
    <row r="10" spans="1:8" ht="62.1" customHeight="1">
      <c r="A10" s="138" t="s">
        <v>27</v>
      </c>
      <c r="B10" s="137" t="str">
        <f>Languages!B22</f>
        <v>Entry; at 1 m height near ticket-machine
•  Above 200 Lux = 3;
•  Between100– 200 Lux: 0,03 pt per Lux over 100
•  Below 100 Lux = 0</v>
      </c>
      <c r="C10" s="94"/>
      <c r="D10" s="15">
        <v>3</v>
      </c>
      <c r="E10" s="16">
        <f>IF(C10&gt;200,3,IF(C10&lt;=100,0,(C10-100)*0.03))</f>
        <v>0</v>
      </c>
      <c r="F10" s="60">
        <f t="shared" ref="F10:G16" si="0">D10/$D$18*$F$6</f>
        <v>1.0434782608695652</v>
      </c>
      <c r="G10" s="60">
        <f t="shared" si="0"/>
        <v>0</v>
      </c>
      <c r="H10" s="144"/>
    </row>
    <row r="11" spans="1:8" ht="62.1" customHeight="1">
      <c r="A11" s="138" t="s">
        <v>28</v>
      </c>
      <c r="B11" s="137" t="str">
        <f>Languages!B23</f>
        <v>Exit; at 1 m height near barrier/ticket-machine
•  Above 200 Lux = 3;
•  Between100– 200 Lux: 0,03 pt per Lux over 100
•  Below 100 Lux= 0</v>
      </c>
      <c r="C11" s="94"/>
      <c r="D11" s="15">
        <v>3</v>
      </c>
      <c r="E11" s="16">
        <f>IF(C11&gt;100,(IF(C11&lt;200,(C11-100)*0.03,3)),0)</f>
        <v>0</v>
      </c>
      <c r="F11" s="60">
        <f t="shared" si="0"/>
        <v>1.0434782608695652</v>
      </c>
      <c r="G11" s="60">
        <f t="shared" si="0"/>
        <v>0</v>
      </c>
      <c r="H11" s="144"/>
    </row>
    <row r="12" spans="1:8" ht="75" customHeight="1">
      <c r="A12" s="138" t="s">
        <v>29</v>
      </c>
      <c r="B12" s="137" t="str">
        <f>Languages!B24</f>
        <v>At pay-machine; at 1 m height
•  Above 200 Lux =4;
•  Between100– 200 Lux: 0,04 pt per Lux over 100
•  Below 100 Lux= 0;
•  No Pay Machines : same as exit (enter zero if this is the case)</v>
      </c>
      <c r="C12" s="202"/>
      <c r="D12" s="15">
        <v>4</v>
      </c>
      <c r="E12" s="16">
        <f>IF(C12&gt;100,(IF(C12&lt;200,(C12-100)*0.04,4)),IF(AND(ISNUMBER(C12),C12=0),E11,0))</f>
        <v>0</v>
      </c>
      <c r="F12" s="60">
        <f t="shared" si="0"/>
        <v>1.3913043478260869</v>
      </c>
      <c r="G12" s="60">
        <f t="shared" si="0"/>
        <v>0</v>
      </c>
      <c r="H12" s="144"/>
    </row>
    <row r="13" spans="1:8" ht="75" customHeight="1">
      <c r="A13" s="138" t="s">
        <v>30</v>
      </c>
      <c r="B13" s="137" t="str">
        <f>Languages!B25</f>
        <v>At cashier; at counter height
•  Above 200 Lux =4;
•  Between100– 200 Lux: 0,04 pt per Lux over 100
•  Below 100 Lux= 0;
•  No cashier = 3 (enter zero if this is the case)</v>
      </c>
      <c r="C13" s="202"/>
      <c r="D13" s="15">
        <v>4</v>
      </c>
      <c r="E13" s="16">
        <f>IF(C13&gt;100,(IF(C13&lt;200,(C13-100)*0.04,4)),IF(AND(ISNUMBER(C13),(C13=0)),3,0))</f>
        <v>0</v>
      </c>
      <c r="F13" s="60">
        <f t="shared" si="0"/>
        <v>1.3913043478260869</v>
      </c>
      <c r="G13" s="60">
        <f t="shared" si="0"/>
        <v>0</v>
      </c>
      <c r="H13" s="144"/>
    </row>
    <row r="14" spans="1:8" ht="75" customHeight="1">
      <c r="A14" s="138" t="s">
        <v>31</v>
      </c>
      <c r="B14" s="137" t="str">
        <f>Languages!B26</f>
        <v>In elevator; at floor level
•  Above 70 Lux = 4;
•  Between30– 70 Lux: 0,1 pt per Lux over 30
•  Below 30 Lux = 0;
•  Single level without elevator = 3 (enter zero if this is the case)</v>
      </c>
      <c r="C14" s="202"/>
      <c r="D14" s="15">
        <v>4</v>
      </c>
      <c r="E14" s="16">
        <f>IF(C14&gt;30,(IF(C14&lt;70,(C14-30)*0.1,4)),IF(AND(ISNUMBER(C14),(C14=0)),3,0))</f>
        <v>0</v>
      </c>
      <c r="F14" s="60">
        <f t="shared" si="0"/>
        <v>1.3913043478260869</v>
      </c>
      <c r="G14" s="60">
        <f t="shared" si="0"/>
        <v>0</v>
      </c>
      <c r="H14" s="144"/>
    </row>
    <row r="15" spans="1:8" ht="62.1" customHeight="1">
      <c r="A15" s="138" t="s">
        <v>32</v>
      </c>
      <c r="B15" s="137" t="str">
        <f>Languages!B27</f>
        <v>In staircases and all other exclusive pedestrian routes; at floor level
•  Above 90 Lux = 3;
•  Between30– 90 Lux: 0,05 pt per Lux over 30
•  Below 30 Lux = 0;</v>
      </c>
      <c r="C15" s="94"/>
      <c r="D15" s="15">
        <v>3</v>
      </c>
      <c r="E15" s="16">
        <f>IF(C15&gt;30,(IF(C15&lt;90,(C15-30)*0.05,3)),0)</f>
        <v>0</v>
      </c>
      <c r="F15" s="60">
        <f t="shared" si="0"/>
        <v>1.0434782608695652</v>
      </c>
      <c r="G15" s="60">
        <f t="shared" si="0"/>
        <v>0</v>
      </c>
      <c r="H15" s="144"/>
    </row>
    <row r="16" spans="1:8" ht="75" customHeight="1">
      <c r="A16" s="139" t="s">
        <v>33</v>
      </c>
      <c r="B16" s="140" t="str">
        <f>Languages!B28</f>
        <v>Light levels on parking area at floor level: (plesase fill grid below) 
Average light level of grid:
•  Above 100 Lux= 10;
•  Between20– 100 Lux: 0,125 pt per Lux over 20 
•  Below 20 Lux= 0</v>
      </c>
      <c r="C16" s="203">
        <f>IF(ISERROR(AVERAGE(D22:E26)),0,AVERAGE(D22:E26))</f>
        <v>0</v>
      </c>
      <c r="D16" s="449">
        <v>20</v>
      </c>
      <c r="E16" s="90">
        <f>IF(C16&gt;20,(IF(C16&lt;100,(C16-20)*0.125,10)),0)</f>
        <v>0</v>
      </c>
      <c r="F16" s="451">
        <f t="shared" si="0"/>
        <v>6.9565217391304346</v>
      </c>
      <c r="G16" s="60">
        <f t="shared" si="0"/>
        <v>0</v>
      </c>
      <c r="H16" s="145"/>
    </row>
    <row r="17" spans="1:8" ht="62.1" customHeight="1">
      <c r="A17" s="141"/>
      <c r="B17" s="142" t="str">
        <f>Languages!B29</f>
        <v>Uniformity of light levels in grid as standard deviation
•  Under 25% of avg light level = 10;
•  Between25– 50%: 0,4 pt per % under 50%
•  Above 50% =  0</v>
      </c>
      <c r="C17" s="358">
        <f>IF(ISERROR(_xlfn.STDEV.S(D22:E26)/C16),0,_xlfn.STDEV.S(D22:E26)/C16)</f>
        <v>0</v>
      </c>
      <c r="D17" s="450"/>
      <c r="E17" s="91">
        <f>IF(ISERROR(_xlfn.STDEV.S(D22:E26)/C16),0,IF(C17&gt;0.5,0,IF(C17&lt;0.25,10,(0.5-C17)*40)))</f>
        <v>0</v>
      </c>
      <c r="F17" s="452"/>
      <c r="G17" s="60">
        <f>E17/$D$18*$F$6</f>
        <v>0</v>
      </c>
      <c r="H17" s="146"/>
    </row>
    <row r="18" spans="1:8" ht="18.75" customHeight="1">
      <c r="B18" s="143" t="str">
        <f>CONCATENATE(Tags!$B$50," ",$B$1)</f>
        <v>Subtotals Lighting</v>
      </c>
      <c r="C18" s="3"/>
      <c r="D18" s="2">
        <f>SUM(D9:D16)</f>
        <v>46</v>
      </c>
      <c r="E18" s="9">
        <f>SUM(E9:E17)</f>
        <v>0</v>
      </c>
      <c r="F18" s="9">
        <f>SUM(F9:F17)</f>
        <v>16</v>
      </c>
      <c r="G18" s="61">
        <f>SUM(G9:G17)</f>
        <v>0</v>
      </c>
      <c r="H18" s="147"/>
    </row>
    <row r="19" spans="1:8"/>
    <row r="20" spans="1:8"/>
    <row r="21" spans="1:8" ht="15">
      <c r="B21" s="447" t="str">
        <f>Languages!B30</f>
        <v>Auxiliary Grid for 2.8</v>
      </c>
      <c r="C21" s="448" t="e">
        <f>VLOOKUP(#REF!,Languages!$A$4:$B$9972,2)</f>
        <v>#REF!</v>
      </c>
      <c r="D21" s="448" t="e">
        <f>VLOOKUP(#REF!,Languages!$A$4:$B$9972,2)</f>
        <v>#REF!</v>
      </c>
      <c r="E21" s="179"/>
    </row>
    <row r="22" spans="1:8" ht="24" customHeight="1">
      <c r="B22" s="453" t="str">
        <f>Languages!B31</f>
        <v>end of parking space under/between light fitting</v>
      </c>
      <c r="C22" s="454"/>
      <c r="D22" s="95"/>
      <c r="E22" s="95"/>
    </row>
    <row r="23" spans="1:8" ht="24" customHeight="1">
      <c r="B23" s="445" t="str">
        <f>Languages!B32</f>
        <v>halfway parking space under/between light fitting</v>
      </c>
      <c r="C23" s="446"/>
      <c r="D23" s="95"/>
      <c r="E23" s="95"/>
    </row>
    <row r="24" spans="1:8" ht="24" customHeight="1">
      <c r="B24" s="445" t="str">
        <f>Languages!B33</f>
        <v>edge of driveway under/between light fitting</v>
      </c>
      <c r="C24" s="446"/>
      <c r="D24" s="95"/>
      <c r="E24" s="95"/>
    </row>
    <row r="25" spans="1:8" ht="24" customHeight="1">
      <c r="B25" s="445" t="str">
        <f>Languages!B34</f>
        <v>center of driveway under/between light fitting</v>
      </c>
      <c r="C25" s="446"/>
      <c r="D25" s="95"/>
      <c r="E25" s="95"/>
    </row>
    <row r="26" spans="1:8" ht="24" customHeight="1">
      <c r="B26" s="445" t="str">
        <f>Languages!B35</f>
        <v>other edge of driveway under/between light fitting</v>
      </c>
      <c r="C26" s="446"/>
      <c r="D26" s="95"/>
      <c r="E26" s="95"/>
    </row>
    <row r="27" spans="1:8"/>
    <row r="28" spans="1:8"/>
    <row r="29" spans="1:8" ht="15">
      <c r="A29" s="175" t="str">
        <f>Tags!B60</f>
        <v>Notes</v>
      </c>
    </row>
    <row r="30" spans="1:8"/>
    <row r="31" spans="1:8"/>
    <row r="32" spans="1:8"/>
    <row r="33"/>
    <row r="34"/>
    <row r="35"/>
    <row r="36"/>
    <row r="37"/>
    <row r="38"/>
    <row r="39"/>
    <row r="40"/>
    <row r="41"/>
    <row r="42"/>
    <row r="43"/>
    <row r="44"/>
    <row r="45"/>
    <row r="46"/>
    <row r="47"/>
    <row r="48" hidden="1"/>
    <row r="49" hidden="1"/>
  </sheetData>
  <sheetProtection algorithmName="SHA-512" hashValue="dATaFJYBnAvHWJeLgRZ9QYOlna7E6+2xqmAGNB5ytPfB8x+9oRJluaiqGZGxWem9IVSmpJDu0svZ0PSN+AvuVA==" saltValue="F+Wzz/D1nlEnHoqPm+BSsg==" spinCount="100000" sheet="1" objects="1" scenarios="1" formatRows="0" selectLockedCells="1"/>
  <mergeCells count="9">
    <mergeCell ref="B26:C26"/>
    <mergeCell ref="B21:D21"/>
    <mergeCell ref="D16:D17"/>
    <mergeCell ref="F16:F17"/>
    <mergeCell ref="H3:H6"/>
    <mergeCell ref="B22:C22"/>
    <mergeCell ref="B23:C23"/>
    <mergeCell ref="B24:C24"/>
    <mergeCell ref="B25:C25"/>
  </mergeCells>
  <phoneticPr fontId="24" type="noConversion"/>
  <conditionalFormatting sqref="H3:H6">
    <cfRule type="expression" dxfId="95" priority="2">
      <formula>$G$3="Fail"</formula>
    </cfRule>
    <cfRule type="expression" dxfId="94" priority="3">
      <formula>($G$3="Pass")</formula>
    </cfRule>
  </conditionalFormatting>
  <dataValidations count="3">
    <dataValidation type="custom" allowBlank="1" showInputMessage="1" showErrorMessage="1" sqref="E9:E11">
      <formula1>AND(E9&gt;=0,E9&lt;=D9)</formula1>
    </dataValidation>
    <dataValidation type="whole" allowBlank="1" showInputMessage="1" showErrorMessage="1" sqref="C15 C9:C11 D22:E26">
      <formula1>1</formula1>
      <formula2>1000</formula2>
    </dataValidation>
    <dataValidation type="whole" allowBlank="1" showInputMessage="1" showErrorMessage="1" sqref="C12:C14">
      <formula1>0</formula1>
      <formula2>1000</formula2>
    </dataValidation>
  </dataValidations>
  <printOptions horizontalCentered="1"/>
  <pageMargins left="0.71" right="0.71" top="0.75000000000000011" bottom="0.75000000000000011" header="0.31" footer="0.31"/>
  <pageSetup paperSize="9" scale="46" orientation="portrait" horizontalDpi="300" verticalDpi="300"/>
  <headerFooter>
    <oddHeader>&amp;L&amp;"Calibri,Bold"&amp;K000000EPA - Checklist for the European Standard Parking Award</oddHeader>
    <oddFooter>&amp;L&amp;K000000[File]&amp;A</oddFooter>
  </headerFooter>
  <drawing r:id="rId1"/>
  <extLst>
    <ext xmlns:x14="http://schemas.microsoft.com/office/spreadsheetml/2009/9/main" uri="{78C0D931-6437-407d-A8EE-F0AAD7539E65}">
      <x14:conditionalFormattings>
        <x14:conditionalFormatting xmlns:xm="http://schemas.microsoft.com/office/excel/2006/main">
          <x14:cfRule type="expression" priority="6" id="{E01EC0F2-AFA4-714B-9041-8F503F064B9F}">
            <xm:f>$D$1=Tags!$B$21</xm:f>
            <x14:dxf>
              <font>
                <color rgb="FF9C0006"/>
              </font>
            </x14:dxf>
          </x14:cfRule>
          <xm:sqref>D1</xm:sqref>
        </x14:conditionalFormatting>
        <x14:conditionalFormatting xmlns:xm="http://schemas.microsoft.com/office/excel/2006/main">
          <x14:cfRule type="expression" priority="1" id="{5CCF6874-C322-1E46-9765-F30BD95752FE}">
            <xm:f>$D$1=Tags!$B$21</xm:f>
            <x14:dxf>
              <font>
                <color rgb="FF9C0006"/>
              </font>
            </x14:dxf>
          </x14:cfRule>
          <xm:sqref>E1</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I61"/>
  <sheetViews>
    <sheetView showGridLines="0" workbookViewId="0">
      <pane ySplit="8" topLeftCell="A9" activePane="bottomLeft" state="frozenSplit"/>
      <selection activeCell="C11" sqref="C11:E11"/>
      <selection pane="bottomLeft" activeCell="H9" sqref="H9:H12"/>
    </sheetView>
  </sheetViews>
  <sheetFormatPr baseColWidth="10" defaultColWidth="0" defaultRowHeight="14.25" zeroHeight="1"/>
  <cols>
    <col min="1" max="1" width="4.86328125" style="6" customWidth="1"/>
    <col min="2" max="2" width="58" style="6" customWidth="1"/>
    <col min="3" max="3" width="15.265625" style="6" customWidth="1"/>
    <col min="4" max="5" width="11" style="6" customWidth="1"/>
    <col min="6" max="6" width="15.86328125" style="6" customWidth="1"/>
    <col min="7" max="7" width="12.3984375" style="6" customWidth="1"/>
    <col min="8" max="8" width="48.3984375" style="6" customWidth="1"/>
    <col min="9" max="9" width="0.3984375" style="6" customWidth="1"/>
    <col min="10" max="16384" width="8.86328125" style="6" hidden="1"/>
  </cols>
  <sheetData>
    <row r="1" spans="1:8" s="24" customFormat="1" ht="27.95" customHeight="1" thickTop="1" thickBot="1">
      <c r="A1" s="126">
        <v>3</v>
      </c>
      <c r="B1" s="127" t="str">
        <f>Languages!B36</f>
        <v>Car Entry / Car Exit</v>
      </c>
      <c r="C1" s="63"/>
      <c r="D1" s="64"/>
      <c r="E1" s="128" t="str">
        <f>IF(C6&gt;0,Tags!B21,Tags!B20)</f>
        <v>Incompleted</v>
      </c>
      <c r="F1" s="129" t="s">
        <v>485</v>
      </c>
      <c r="G1" s="130">
        <f>F5*F6</f>
        <v>0</v>
      </c>
      <c r="H1" s="131">
        <f>F5</f>
        <v>0</v>
      </c>
    </row>
    <row r="2" spans="1:8" s="24" customFormat="1" ht="12.95" customHeight="1" thickTop="1"/>
    <row r="3" spans="1:8" s="24" customFormat="1" ht="12.95" customHeight="1">
      <c r="B3" s="132" t="str">
        <f>Tags!B30</f>
        <v>Total Items</v>
      </c>
      <c r="C3" s="123">
        <v>11</v>
      </c>
      <c r="E3" s="132" t="str">
        <f>Tags!B34</f>
        <v>Score</v>
      </c>
      <c r="F3" s="133">
        <f>E37</f>
        <v>0</v>
      </c>
      <c r="G3" s="44"/>
      <c r="H3" s="440" t="str">
        <f>Evaluation!M8</f>
        <v>Incomplete</v>
      </c>
    </row>
    <row r="4" spans="1:8" s="24" customFormat="1" ht="12.95" customHeight="1">
      <c r="B4" s="132" t="str">
        <f>Tags!B31</f>
        <v>Total Items + SubItems</v>
      </c>
      <c r="C4" s="123">
        <v>23</v>
      </c>
      <c r="E4" s="132" t="str">
        <f>Tags!B35</f>
        <v>Maximum Score</v>
      </c>
      <c r="F4" s="133">
        <f>D37</f>
        <v>29</v>
      </c>
      <c r="G4" s="44"/>
      <c r="H4" s="441"/>
    </row>
    <row r="5" spans="1:8" s="24" customFormat="1" ht="12.95" customHeight="1">
      <c r="B5" s="132" t="str">
        <f>Tags!B32</f>
        <v>Itens Completed</v>
      </c>
      <c r="C5" s="133">
        <f>COUNTA(C10:C14,C16:C19,C21:C22,C24:C27,C29:C36)</f>
        <v>0</v>
      </c>
      <c r="E5" s="132" t="str">
        <f>Tags!B36</f>
        <v>Percentage</v>
      </c>
      <c r="F5" s="134">
        <f>F3/F4</f>
        <v>0</v>
      </c>
      <c r="G5" s="135"/>
      <c r="H5" s="441"/>
    </row>
    <row r="6" spans="1:8" s="24" customFormat="1" ht="12.95" customHeight="1">
      <c r="B6" s="132" t="str">
        <f>Tags!B33</f>
        <v>Not measured</v>
      </c>
      <c r="C6" s="133">
        <f>C4-C5</f>
        <v>23</v>
      </c>
      <c r="E6" s="132" t="str">
        <f>Tags!B37</f>
        <v>Category Value</v>
      </c>
      <c r="F6" s="133">
        <f>VLOOKUP(A1,Evaluation!$A$7:$M$15,11)</f>
        <v>8</v>
      </c>
      <c r="G6" s="44"/>
      <c r="H6" s="442"/>
    </row>
    <row r="7" spans="1:8" s="24" customFormat="1" ht="12.95" customHeight="1"/>
    <row r="8" spans="1:8" ht="51.95" customHeight="1">
      <c r="A8" s="18">
        <v>3</v>
      </c>
      <c r="B8" s="17" t="str">
        <f>Tags!B55</f>
        <v>Item List</v>
      </c>
      <c r="C8" s="89" t="str">
        <f>Tags!B56</f>
        <v>Measured value</v>
      </c>
      <c r="D8" s="8" t="str">
        <f>E4</f>
        <v>Maximum Score</v>
      </c>
      <c r="E8" s="8" t="str">
        <f>E3</f>
        <v>Score</v>
      </c>
      <c r="F8" s="8" t="str">
        <f>Tags!D57</f>
        <v>Maximum Contribuition for Final Score</v>
      </c>
      <c r="G8" s="8" t="str">
        <f>Tags!D58</f>
        <v>Contribuition for Final Score</v>
      </c>
      <c r="H8" s="8" t="str">
        <f>Tags!D59</f>
        <v>Remarks</v>
      </c>
    </row>
    <row r="9" spans="1:8" ht="24.95" customHeight="1">
      <c r="A9" s="455" t="s">
        <v>34</v>
      </c>
      <c r="B9" s="148" t="str">
        <f>Languages!B37</f>
        <v>Car park headroom limit identified at entrance</v>
      </c>
      <c r="C9" s="149"/>
      <c r="D9" s="449">
        <v>3</v>
      </c>
      <c r="E9" s="16" t="str">
        <f>IF(ISERROR(E10+E11+E12),"NA",E10+E11+E12)</f>
        <v>NA</v>
      </c>
      <c r="F9" s="451">
        <f>D9/$F$4*$F$6</f>
        <v>0.82758620689655171</v>
      </c>
      <c r="G9" s="451">
        <f>IF(ISNUMBER(E9),E9/$F$4*$F$6,0)</f>
        <v>0</v>
      </c>
      <c r="H9" s="460"/>
    </row>
    <row r="10" spans="1:8" ht="24.95" customHeight="1">
      <c r="A10" s="456"/>
      <c r="B10" s="150" t="str">
        <f>Languages!B38</f>
        <v>Correct sign at entrance</v>
      </c>
      <c r="C10" s="96"/>
      <c r="D10" s="459"/>
      <c r="E10" s="26" t="str">
        <f>IF(C10=Options!$B$23,1,IF(C10=Options!$B$24,0,"NA"))</f>
        <v>NA</v>
      </c>
      <c r="F10" s="458"/>
      <c r="G10" s="458"/>
      <c r="H10" s="461"/>
    </row>
    <row r="11" spans="1:8" ht="24.95" customHeight="1">
      <c r="A11" s="456"/>
      <c r="B11" s="150" t="str">
        <f>Languages!B39</f>
        <v>Height barrier</v>
      </c>
      <c r="C11" s="97"/>
      <c r="D11" s="459"/>
      <c r="E11" s="27" t="str">
        <f>IF(C11=Options!$B$23,1,IF(C11=Options!$B$24,0,"NA"))</f>
        <v>NA</v>
      </c>
      <c r="F11" s="458"/>
      <c r="G11" s="458"/>
      <c r="H11" s="461"/>
    </row>
    <row r="12" spans="1:8" ht="24.95" customHeight="1">
      <c r="A12" s="457"/>
      <c r="B12" s="151" t="str">
        <f>Languages!B40</f>
        <v>Rubber lip to prevent damage</v>
      </c>
      <c r="C12" s="98"/>
      <c r="D12" s="450"/>
      <c r="E12" s="28" t="str">
        <f>IF(C12=Options!$B$23,1,IF(C12=Options!$B$24,0,"NA"))</f>
        <v>NA</v>
      </c>
      <c r="F12" s="452"/>
      <c r="G12" s="452"/>
      <c r="H12" s="462"/>
    </row>
    <row r="13" spans="1:8" ht="48.95" customHeight="1">
      <c r="A13" s="152" t="s">
        <v>35</v>
      </c>
      <c r="B13" s="137" t="str">
        <f>Languages!B41</f>
        <v>Height:
(The car park should receive one point for each 10cm of height above 1.90m up to 2.20 m)</v>
      </c>
      <c r="C13" s="99"/>
      <c r="D13" s="15">
        <v>3</v>
      </c>
      <c r="E13" s="16" t="str">
        <f>IF(ISNUMBER(C13),IF(C13&gt;1.9,(IF(C13&lt;2.2,(C13-1.9)*10,3)),0),"NA")</f>
        <v>NA</v>
      </c>
      <c r="F13" s="60">
        <f>D13/$F$4*$F$6</f>
        <v>0.82758620689655171</v>
      </c>
      <c r="G13" s="60">
        <f>IF(ISNUMBER(E13),E13/$F$4*$F$6,0)</f>
        <v>0</v>
      </c>
      <c r="H13" s="144"/>
    </row>
    <row r="14" spans="1:8" ht="62.1" customHeight="1">
      <c r="A14" s="152" t="s">
        <v>36</v>
      </c>
      <c r="B14" s="137" t="str">
        <f>Languages!B42</f>
        <v>Traffic signs to define limitations in use of facility.
• Clear signing = 3
• Incomplete signing = 2
• No signing = 0)</v>
      </c>
      <c r="C14" s="100"/>
      <c r="D14" s="15">
        <v>3</v>
      </c>
      <c r="E14" s="16" t="str">
        <f>IF(C14=Options!B26,3,IF(C14=Options!B27,2,IF(C14=Options!B28,0,"NA")))</f>
        <v>NA</v>
      </c>
      <c r="F14" s="60">
        <f>D14/$F$4*$F$6</f>
        <v>0.82758620689655171</v>
      </c>
      <c r="G14" s="60">
        <f>IF(ISNUMBER(E14),E14/$F$4*$F$6,0)</f>
        <v>0</v>
      </c>
      <c r="H14" s="144"/>
    </row>
    <row r="15" spans="1:8" ht="24.95" customHeight="1">
      <c r="A15" s="455" t="s">
        <v>37</v>
      </c>
      <c r="B15" s="148" t="str">
        <f>Languages!B43</f>
        <v>Information on:</v>
      </c>
      <c r="C15" s="149"/>
      <c r="D15" s="449">
        <v>4</v>
      </c>
      <c r="E15" s="16" t="str">
        <f>IF(ISERROR(E16+E17+E18+E19),"NA",E16+E17+E18+E19)</f>
        <v>NA</v>
      </c>
      <c r="F15" s="451">
        <f>D15/$F$4*$F$6</f>
        <v>1.103448275862069</v>
      </c>
      <c r="G15" s="451">
        <f>IF(ISNUMBER(E15),E15/$F$4*$F$6,0)</f>
        <v>0</v>
      </c>
      <c r="H15" s="460"/>
    </row>
    <row r="16" spans="1:8" ht="24.95" customHeight="1">
      <c r="A16" s="456"/>
      <c r="B16" s="150" t="str">
        <f>Languages!B44</f>
        <v>Operators terms &amp; conditions within the car park:</v>
      </c>
      <c r="C16" s="96"/>
      <c r="D16" s="459"/>
      <c r="E16" s="27" t="str">
        <f>IF(C16=yes,1,IF(C16=no,0,"NA"))</f>
        <v>NA</v>
      </c>
      <c r="F16" s="458"/>
      <c r="G16" s="458"/>
      <c r="H16" s="461"/>
    </row>
    <row r="17" spans="1:8" ht="24.95" customHeight="1">
      <c r="A17" s="456"/>
      <c r="B17" s="150" t="str">
        <f>Languages!B45</f>
        <v>Daily opening hours:</v>
      </c>
      <c r="C17" s="97"/>
      <c r="D17" s="459"/>
      <c r="E17" s="27" t="str">
        <f>IF(C17=yes,1,IF(C17=no,0,"NA"))</f>
        <v>NA</v>
      </c>
      <c r="F17" s="458"/>
      <c r="G17" s="458"/>
      <c r="H17" s="461"/>
    </row>
    <row r="18" spans="1:8" ht="24.95" customHeight="1">
      <c r="A18" s="456"/>
      <c r="B18" s="150" t="str">
        <f>Languages!B46</f>
        <v>Scale of tariffs:</v>
      </c>
      <c r="C18" s="97"/>
      <c r="D18" s="459"/>
      <c r="E18" s="27" t="str">
        <f>IF(C18=yes,1,IF(C18=no,0,"NA"))</f>
        <v>NA</v>
      </c>
      <c r="F18" s="458"/>
      <c r="G18" s="458"/>
      <c r="H18" s="461"/>
    </row>
    <row r="19" spans="1:8" ht="24.95" customHeight="1">
      <c r="A19" s="457"/>
      <c r="B19" s="150" t="str">
        <f>Languages!B47</f>
        <v>Readibility of tariff system:</v>
      </c>
      <c r="C19" s="98"/>
      <c r="D19" s="450"/>
      <c r="E19" s="29" t="str">
        <f>IF(C19=yes,1,IF(C19=no,0,"NA"))</f>
        <v>NA</v>
      </c>
      <c r="F19" s="452"/>
      <c r="G19" s="452"/>
      <c r="H19" s="462"/>
    </row>
    <row r="20" spans="1:8" ht="24.95" customHeight="1">
      <c r="A20" s="455" t="s">
        <v>38</v>
      </c>
      <c r="B20" s="148" t="str">
        <f>Languages!B48</f>
        <v>Design entry/exit area</v>
      </c>
      <c r="C20" s="149"/>
      <c r="D20" s="449">
        <v>2</v>
      </c>
      <c r="E20" s="16" t="str">
        <f>IF(ISERROR(E21+E22),"NA",E21+E22)</f>
        <v>NA</v>
      </c>
      <c r="F20" s="451">
        <f>D20/$F$4*$F$6</f>
        <v>0.55172413793103448</v>
      </c>
      <c r="G20" s="451">
        <f>IF(ISNUMBER(E20),E20/$F$4*$F$6,0)</f>
        <v>0</v>
      </c>
      <c r="H20" s="460"/>
    </row>
    <row r="21" spans="1:8" ht="24.95" customHeight="1">
      <c r="A21" s="456"/>
      <c r="B21" s="150" t="str">
        <f>Languages!B49</f>
        <v>Entry ticket- machine easy to reach:</v>
      </c>
      <c r="C21" s="96"/>
      <c r="D21" s="459"/>
      <c r="E21" s="27" t="str">
        <f>IF(C21=yes,1,IF(C21=no,0,""))</f>
        <v/>
      </c>
      <c r="F21" s="458"/>
      <c r="G21" s="458"/>
      <c r="H21" s="461"/>
    </row>
    <row r="22" spans="1:8" ht="24.95" customHeight="1">
      <c r="A22" s="457"/>
      <c r="B22" s="150" t="str">
        <f>Languages!B50</f>
        <v>Exit ticket- machine easy to reach:</v>
      </c>
      <c r="C22" s="98"/>
      <c r="D22" s="450"/>
      <c r="E22" s="27" t="str">
        <f>IF(C22=yes,1,IF(C22=no,0,""))</f>
        <v/>
      </c>
      <c r="F22" s="452"/>
      <c r="G22" s="452"/>
      <c r="H22" s="462"/>
    </row>
    <row r="23" spans="1:8" ht="24.95" customHeight="1">
      <c r="A23" s="455" t="s">
        <v>39</v>
      </c>
      <c r="B23" s="148" t="str">
        <f>Languages!B51</f>
        <v>Longitudinal slope at the ticket machines</v>
      </c>
      <c r="C23" s="149"/>
      <c r="D23" s="449">
        <v>2</v>
      </c>
      <c r="E23" s="16" t="str">
        <f>IF(ISERROR(E24+E25),"NA",E24+E25)</f>
        <v>NA</v>
      </c>
      <c r="F23" s="451">
        <f>D23/$F$4*$F$6</f>
        <v>0.55172413793103448</v>
      </c>
      <c r="G23" s="451">
        <f>IF(ISNUMBER(E23),E23/$F$4*$F$6,0)</f>
        <v>0</v>
      </c>
      <c r="H23" s="460"/>
    </row>
    <row r="24" spans="1:8" ht="62.1" customHeight="1">
      <c r="A24" s="456"/>
      <c r="B24" s="150" t="str">
        <f>Languages!B52</f>
        <v>Entry lane:
• 0-2% (car doesn’t move without brake) = 1
• 2-5% = 0
• Above 5% = -1</v>
      </c>
      <c r="C24" s="97"/>
      <c r="D24" s="459"/>
      <c r="E24" s="27" t="str">
        <f>IF(C24=Options!B30,1,IF(C24=Options!B31,0,IF(C24=Options!B32,-1,"NA")))</f>
        <v>NA</v>
      </c>
      <c r="F24" s="458"/>
      <c r="G24" s="458"/>
      <c r="H24" s="461"/>
    </row>
    <row r="25" spans="1:8" ht="62.1" customHeight="1">
      <c r="A25" s="457"/>
      <c r="B25" s="150" t="str">
        <f>Languages!B53</f>
        <v>Exit lane:
• 0-2% (car doesn’t move without brake) = 1
• 2-5% = 0
• Above 5% = -1</v>
      </c>
      <c r="C25" s="97"/>
      <c r="D25" s="450"/>
      <c r="E25" s="27" t="str">
        <f>IF(C25=Options!B30,1,IF(C25=Options!B31,0,IF(C25=Options!B32,-1,"NA")))</f>
        <v>NA</v>
      </c>
      <c r="F25" s="452"/>
      <c r="G25" s="452"/>
      <c r="H25" s="462"/>
    </row>
    <row r="26" spans="1:8" ht="36" customHeight="1">
      <c r="A26" s="152" t="s">
        <v>40</v>
      </c>
      <c r="B26" s="137" t="str">
        <f>Languages!B54</f>
        <v>Kerb design to avoid damage to average vehicle’s wheels:
(Yes = 2, No protection = 0, No kerbs in entry/exit area = 2)</v>
      </c>
      <c r="C26" s="100"/>
      <c r="D26" s="15">
        <v>2</v>
      </c>
      <c r="E26" s="16" t="str">
        <f>IF(C26=Options!B34,2,IF(Options!B35=C26,0,(IF(C26=Options!B36,2,"NA"))))</f>
        <v>NA</v>
      </c>
      <c r="F26" s="60">
        <f>D26/$F$4*$F$6</f>
        <v>0.55172413793103448</v>
      </c>
      <c r="G26" s="60">
        <f>IF(ISNUMBER(E26),E26/$F$4*$F$6,0)</f>
        <v>0</v>
      </c>
      <c r="H26" s="144"/>
    </row>
    <row r="27" spans="1:8" ht="36" customHeight="1">
      <c r="A27" s="152" t="s">
        <v>41</v>
      </c>
      <c r="B27" s="137" t="str">
        <f>Languages!B55</f>
        <v>Anti slip surfaces access/egress ramps:
(Anti slip = 1, Slippery when wet = 0)</v>
      </c>
      <c r="C27" s="100"/>
      <c r="D27" s="15">
        <v>1</v>
      </c>
      <c r="E27" s="16" t="str">
        <f>IF(C27=Options!B38,1,IF(C27=Options!B39,0,"NA"))</f>
        <v>NA</v>
      </c>
      <c r="F27" s="60">
        <f>D27/$F$4*$F$6</f>
        <v>0.27586206896551724</v>
      </c>
      <c r="G27" s="60">
        <f>IF(ISNUMBER(E27),E27/$F$4*$F$6,0)</f>
        <v>0</v>
      </c>
      <c r="H27" s="144"/>
    </row>
    <row r="28" spans="1:8" ht="24.95" customHeight="1">
      <c r="A28" s="153" t="s">
        <v>42</v>
      </c>
      <c r="B28" s="148" t="str">
        <f>Languages!B56</f>
        <v>Access security</v>
      </c>
      <c r="C28" s="149"/>
      <c r="D28" s="449">
        <v>6</v>
      </c>
      <c r="E28" s="16" t="str">
        <f>IF(ISERROR(E29+E30+E31+E32+E33+E34),"NA",SUM(E29:E34))</f>
        <v>NA</v>
      </c>
      <c r="F28" s="451">
        <f>D28/$F$4*$F$6</f>
        <v>1.6551724137931034</v>
      </c>
      <c r="G28" s="451">
        <f>IF(ISNUMBER(E28),E28/$F$4*$F$6,0)</f>
        <v>0</v>
      </c>
      <c r="H28" s="460"/>
    </row>
    <row r="29" spans="1:8" ht="24.95" customHeight="1">
      <c r="A29" s="154"/>
      <c r="B29" s="150" t="str">
        <f>Languages!B57</f>
        <v>Barrier</v>
      </c>
      <c r="C29" s="96"/>
      <c r="D29" s="459"/>
      <c r="E29" s="27" t="str">
        <f t="shared" ref="E29:E34" si="0">IF(C29=yes,1,IF(C29=no,0,"NA"))</f>
        <v>NA</v>
      </c>
      <c r="F29" s="458"/>
      <c r="G29" s="458"/>
      <c r="H29" s="461"/>
    </row>
    <row r="30" spans="1:8" ht="24.95" customHeight="1">
      <c r="A30" s="154"/>
      <c r="B30" s="150" t="str">
        <f>Languages!B58</f>
        <v>Intercom</v>
      </c>
      <c r="C30" s="97"/>
      <c r="D30" s="459"/>
      <c r="E30" s="27" t="str">
        <f t="shared" si="0"/>
        <v>NA</v>
      </c>
      <c r="F30" s="458"/>
      <c r="G30" s="458"/>
      <c r="H30" s="461"/>
    </row>
    <row r="31" spans="1:8" ht="24.95" customHeight="1">
      <c r="A31" s="154"/>
      <c r="B31" s="150" t="str">
        <f>Languages!B59</f>
        <v>CCTV</v>
      </c>
      <c r="C31" s="97"/>
      <c r="D31" s="459"/>
      <c r="E31" s="27" t="str">
        <f t="shared" si="0"/>
        <v>NA</v>
      </c>
      <c r="F31" s="458"/>
      <c r="G31" s="458"/>
      <c r="H31" s="461"/>
    </row>
    <row r="32" spans="1:8" ht="24.95" customHeight="1">
      <c r="A32" s="154"/>
      <c r="B32" s="150" t="str">
        <f>Languages!B60</f>
        <v>Licence Plate Recognition</v>
      </c>
      <c r="C32" s="97"/>
      <c r="D32" s="459"/>
      <c r="E32" s="27" t="str">
        <f t="shared" si="0"/>
        <v>NA</v>
      </c>
      <c r="F32" s="458"/>
      <c r="G32" s="458"/>
      <c r="H32" s="461"/>
    </row>
    <row r="33" spans="1:8" ht="24.95" customHeight="1">
      <c r="A33" s="154"/>
      <c r="B33" s="150" t="str">
        <f>Languages!B61</f>
        <v>Full height fast closing gates</v>
      </c>
      <c r="C33" s="97"/>
      <c r="D33" s="459"/>
      <c r="E33" s="27" t="str">
        <f t="shared" si="0"/>
        <v>NA</v>
      </c>
      <c r="F33" s="458"/>
      <c r="G33" s="458"/>
      <c r="H33" s="461"/>
    </row>
    <row r="34" spans="1:8" ht="24.95" customHeight="1">
      <c r="A34" s="155"/>
      <c r="B34" s="150" t="str">
        <f>Languages!B62</f>
        <v>Staffed access(Entry or exit)</v>
      </c>
      <c r="C34" s="98"/>
      <c r="D34" s="450"/>
      <c r="E34" s="27" t="str">
        <f t="shared" si="0"/>
        <v>NA</v>
      </c>
      <c r="F34" s="452"/>
      <c r="G34" s="452"/>
      <c r="H34" s="462"/>
    </row>
    <row r="35" spans="1:8" ht="36" customHeight="1">
      <c r="A35" s="152" t="s">
        <v>43</v>
      </c>
      <c r="B35" s="137" t="str">
        <f>Languages!B63</f>
        <v>Entry/Exit of the building: width between structure (per lane)
(&lt; 3 m =0, 3 – 3.3 m =1, &gt; 3.3 m = 2)</v>
      </c>
      <c r="C35" s="101"/>
      <c r="D35" s="15">
        <v>2</v>
      </c>
      <c r="E35" s="16" t="str">
        <f>IF(C35=Options!B41,0,IF(C35=Options!B42,1,IF(C35=Options!B43,2,"NA")))</f>
        <v>NA</v>
      </c>
      <c r="F35" s="60">
        <f>D35/$F$4*$F$6</f>
        <v>0.55172413793103448</v>
      </c>
      <c r="G35" s="60">
        <f>IF(ISNUMBER(E35),E35/$F$4*$F$6,0)</f>
        <v>0</v>
      </c>
      <c r="H35" s="144"/>
    </row>
    <row r="36" spans="1:8" ht="36" customHeight="1">
      <c r="A36" s="152" t="s">
        <v>89</v>
      </c>
      <c r="B36" s="137" t="str">
        <f>Languages!B64</f>
        <v>Exit: exit slope ends at least 5 meters before crossing traffic (pedestrians/cyclists):</v>
      </c>
      <c r="C36" s="97"/>
      <c r="D36" s="15">
        <v>1</v>
      </c>
      <c r="E36" s="19" t="str">
        <f>IF(C36=yes,1,IF(C36=yes,0,"NA"))</f>
        <v>NA</v>
      </c>
      <c r="F36" s="60">
        <f>D36/$F$4*$F$6</f>
        <v>0.27586206896551724</v>
      </c>
      <c r="G36" s="60">
        <f>IF(ISNUMBER(E36),E36/$F$4*$F$6,0)</f>
        <v>0</v>
      </c>
      <c r="H36" s="144"/>
    </row>
    <row r="37" spans="1:8" ht="24.95" customHeight="1">
      <c r="A37" s="125"/>
      <c r="B37" s="143" t="str">
        <f>CONCATENATE(Tags!$B$50," ",$B$1)</f>
        <v>Subtotals Car Entry / Car Exit</v>
      </c>
      <c r="C37" s="1"/>
      <c r="D37" s="2">
        <f>SUM(D9:D36)</f>
        <v>29</v>
      </c>
      <c r="E37" s="9">
        <f>SUM(E9,E13,E14,E15,E20,E23,E26,E27,E28,E35,E36)</f>
        <v>0</v>
      </c>
      <c r="F37" s="9">
        <f>SUM(F9:F36)</f>
        <v>8</v>
      </c>
      <c r="G37" s="61">
        <f>SUM(G9:G36)</f>
        <v>0</v>
      </c>
      <c r="H37" s="156"/>
    </row>
    <row r="38" spans="1:8"/>
    <row r="39" spans="1:8" ht="15">
      <c r="A39" s="175" t="str">
        <f>Tags!B60</f>
        <v>Notes</v>
      </c>
    </row>
    <row r="40" spans="1:8"/>
    <row r="41" spans="1:8"/>
    <row r="42" spans="1:8"/>
    <row r="43" spans="1:8"/>
    <row r="44" spans="1:8"/>
    <row r="45" spans="1:8"/>
    <row r="46" spans="1:8"/>
    <row r="47" spans="1:8"/>
    <row r="48" spans="1:8"/>
    <row r="49" spans="2:7"/>
    <row r="50" spans="2:7"/>
    <row r="51" spans="2:7"/>
    <row r="52" spans="2:7"/>
    <row r="53" spans="2:7"/>
    <row r="54" spans="2:7"/>
    <row r="55" spans="2:7"/>
    <row r="56" spans="2:7"/>
    <row r="57" spans="2:7"/>
    <row r="58" spans="2:7" hidden="1"/>
    <row r="59" spans="2:7" hidden="1"/>
    <row r="60" spans="2:7" hidden="1">
      <c r="B60" s="24"/>
      <c r="D60" s="24"/>
      <c r="E60" s="24"/>
      <c r="F60" s="24"/>
      <c r="G60" s="24"/>
    </row>
    <row r="61" spans="2:7" hidden="1">
      <c r="B61" s="24"/>
      <c r="D61" s="24"/>
      <c r="E61" s="24"/>
      <c r="F61" s="24"/>
      <c r="G61" s="24"/>
    </row>
  </sheetData>
  <sheetProtection algorithmName="SHA-512" hashValue="imcISh/SoemPhZ2UaUaWldUFkXkBEKDdNNagrtYg/FhL4Lw2ilYQvPgfIgdQl0l6rPItk7BGm0R4FgZgeLjUbA==" saltValue="EdlMcH+8K79ysUEzlBIE7g==" spinCount="100000" sheet="1" objects="1" scenarios="1" formatRows="0" selectLockedCells="1"/>
  <mergeCells count="25">
    <mergeCell ref="D28:D34"/>
    <mergeCell ref="F28:F34"/>
    <mergeCell ref="H28:H34"/>
    <mergeCell ref="A20:A22"/>
    <mergeCell ref="D20:D22"/>
    <mergeCell ref="F20:F22"/>
    <mergeCell ref="H20:H22"/>
    <mergeCell ref="A23:A25"/>
    <mergeCell ref="D23:D25"/>
    <mergeCell ref="F23:F25"/>
    <mergeCell ref="H23:H25"/>
    <mergeCell ref="G20:G22"/>
    <mergeCell ref="G28:G34"/>
    <mergeCell ref="G23:G25"/>
    <mergeCell ref="H3:H6"/>
    <mergeCell ref="A15:A19"/>
    <mergeCell ref="G9:G12"/>
    <mergeCell ref="D9:D12"/>
    <mergeCell ref="F9:F12"/>
    <mergeCell ref="H9:H12"/>
    <mergeCell ref="D15:D19"/>
    <mergeCell ref="F15:F19"/>
    <mergeCell ref="G15:G19"/>
    <mergeCell ref="H15:H19"/>
    <mergeCell ref="A9:A12"/>
  </mergeCells>
  <phoneticPr fontId="24" type="noConversion"/>
  <conditionalFormatting sqref="H3:H6">
    <cfRule type="expression" dxfId="91" priority="1">
      <formula>$G$3="Fail"</formula>
    </cfRule>
    <cfRule type="expression" dxfId="90" priority="2">
      <formula>($G$3="Pass")</formula>
    </cfRule>
  </conditionalFormatting>
  <dataValidations count="3">
    <dataValidation type="list" allowBlank="1" showInputMessage="1" showErrorMessage="1" sqref="C10:C12 C36 C16:C19 C21:C22 C29:C34">
      <formula1>YesNo</formula1>
    </dataValidation>
    <dataValidation type="custom" allowBlank="1" showInputMessage="1" showErrorMessage="1" sqref="C13">
      <formula1>AND(ISNUMBER(C13),C13&gt;=1)</formula1>
    </dataValidation>
    <dataValidation type="list" allowBlank="1" showInputMessage="1" showErrorMessage="1" sqref="C14">
      <formula1>p3_3</formula1>
    </dataValidation>
  </dataValidations>
  <printOptions horizontalCentered="1"/>
  <pageMargins left="0.71" right="0.71" top="0.75000000000000011" bottom="0.75000000000000011" header="0.31" footer="0.31"/>
  <pageSetup paperSize="9" scale="46" orientation="portrait" horizontalDpi="300" verticalDpi="300"/>
  <headerFooter>
    <oddHeader>&amp;L&amp;"Calibri,Bold"&amp;K000000EPA - Checklist for the European Standard Parking Award</oddHeader>
    <oddFooter>&amp;L&amp;K000000[File]&amp;A</oddFooter>
  </headerFooter>
  <drawing r:id="rId1"/>
  <extLst>
    <ext xmlns:x14="http://schemas.microsoft.com/office/spreadsheetml/2009/9/main" uri="{78C0D931-6437-407d-A8EE-F0AAD7539E65}">
      <x14:conditionalFormattings>
        <x14:conditionalFormatting xmlns:xm="http://schemas.microsoft.com/office/excel/2006/main">
          <x14:cfRule type="expression" priority="4" id="{8804DD83-A154-CB4A-A89C-64B350194D18}">
            <xm:f>$D$1=Tags!$B$21</xm:f>
            <x14:dxf>
              <font>
                <color rgb="FF9C0006"/>
              </font>
            </x14:dxf>
          </x14:cfRule>
          <xm:sqref>D1</xm:sqref>
        </x14:conditionalFormatting>
        <x14:conditionalFormatting xmlns:xm="http://schemas.microsoft.com/office/excel/2006/main">
          <x14:cfRule type="expression" priority="3" id="{6F42F138-37DA-AC47-92B2-E7A9644FD9CF}">
            <xm:f>$D$1=Tags!$B$21</xm:f>
            <x14:dxf>
              <font>
                <color rgb="FF9C0006"/>
              </font>
            </x14:dxf>
          </x14:cfRule>
          <xm:sqref>E1</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Options!$B$30:$B$32</xm:f>
          </x14:formula1>
          <xm:sqref>C24:C25</xm:sqref>
        </x14:dataValidation>
        <x14:dataValidation type="list" allowBlank="1" showInputMessage="1" showErrorMessage="1">
          <x14:formula1>
            <xm:f>Options!$B$34:$B$36</xm:f>
          </x14:formula1>
          <xm:sqref>C26</xm:sqref>
        </x14:dataValidation>
        <x14:dataValidation type="list" allowBlank="1" showInputMessage="1" showErrorMessage="1">
          <x14:formula1>
            <xm:f>Options!$B$38:$B$39</xm:f>
          </x14:formula1>
          <xm:sqref>C27</xm:sqref>
        </x14:dataValidation>
        <x14:dataValidation type="list" allowBlank="1" showInputMessage="1" showErrorMessage="1">
          <x14:formula1>
            <xm:f>Options!$B$41:$B$43</xm:f>
          </x14:formula1>
          <xm:sqref>C35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72"/>
  <sheetViews>
    <sheetView showGridLines="0" workbookViewId="0">
      <pane ySplit="8" topLeftCell="A35" activePane="bottomLeft" state="frozenSplit"/>
      <selection activeCell="C11" sqref="C11:E11"/>
      <selection pane="bottomLeft" activeCell="C9" sqref="C9"/>
    </sheetView>
  </sheetViews>
  <sheetFormatPr baseColWidth="10" defaultColWidth="0" defaultRowHeight="13.5" zeroHeight="1"/>
  <cols>
    <col min="1" max="1" width="4.86328125" style="24" customWidth="1"/>
    <col min="2" max="2" width="58" style="24" customWidth="1"/>
    <col min="3" max="3" width="15.265625" style="24" customWidth="1"/>
    <col min="4" max="5" width="11" style="24" customWidth="1"/>
    <col min="6" max="6" width="15.86328125" style="24" customWidth="1"/>
    <col min="7" max="7" width="12.3984375" style="24" customWidth="1"/>
    <col min="8" max="8" width="48.3984375" style="24" customWidth="1"/>
    <col min="9" max="9" width="0.3984375" style="24" customWidth="1"/>
    <col min="10" max="10" width="8.86328125" style="24" hidden="1" customWidth="1"/>
    <col min="11" max="11" width="9.265625" style="24" hidden="1" customWidth="1"/>
    <col min="12" max="13" width="8.86328125" style="24" hidden="1" customWidth="1"/>
    <col min="14" max="14" width="16.73046875" style="24" hidden="1" customWidth="1"/>
    <col min="15" max="15" width="23.86328125" style="24" hidden="1" customWidth="1"/>
    <col min="16" max="16384" width="8.86328125" style="24" hidden="1"/>
  </cols>
  <sheetData>
    <row r="1" spans="1:8" ht="27.95" customHeight="1" thickTop="1" thickBot="1">
      <c r="A1" s="126">
        <v>4</v>
      </c>
      <c r="B1" s="127" t="str">
        <f>Languages!B66</f>
        <v>Parking Area</v>
      </c>
      <c r="C1" s="63"/>
      <c r="D1" s="64"/>
      <c r="E1" s="128" t="str">
        <f>IF(C6&gt;0,Tags!B21,Tags!B20)</f>
        <v>Incompleted</v>
      </c>
      <c r="F1" s="129" t="s">
        <v>485</v>
      </c>
      <c r="G1" s="130">
        <f>F6*F5</f>
        <v>0</v>
      </c>
      <c r="H1" s="131">
        <f>F5</f>
        <v>0</v>
      </c>
    </row>
    <row r="2" spans="1:8" ht="12.95" customHeight="1" thickTop="1"/>
    <row r="3" spans="1:8" ht="12.95" customHeight="1">
      <c r="B3" s="132" t="str">
        <f>Tags!B30</f>
        <v>Total Items</v>
      </c>
      <c r="C3" s="123">
        <v>10</v>
      </c>
      <c r="E3" s="132" t="str">
        <f>Tags!B34</f>
        <v>Score</v>
      </c>
      <c r="F3" s="133">
        <f>E37</f>
        <v>0</v>
      </c>
      <c r="G3" s="44"/>
      <c r="H3" s="440" t="str">
        <f>Evaluation!M9</f>
        <v>Incomplete</v>
      </c>
    </row>
    <row r="4" spans="1:8" ht="12.95" customHeight="1">
      <c r="B4" s="132" t="str">
        <f>Tags!B31</f>
        <v>Total Items + SubItems</v>
      </c>
      <c r="C4" s="123">
        <v>22</v>
      </c>
      <c r="E4" s="132" t="str">
        <f>Tags!B35</f>
        <v>Maximum Score</v>
      </c>
      <c r="F4" s="133">
        <f>F38+D37</f>
        <v>43</v>
      </c>
      <c r="G4" s="44"/>
      <c r="H4" s="441"/>
    </row>
    <row r="5" spans="1:8" ht="12.95" customHeight="1">
      <c r="B5" s="132" t="str">
        <f>Tags!B32</f>
        <v>Itens Completed</v>
      </c>
      <c r="C5" s="133">
        <f>COUNTA(C9:C10,C12,C14:C16,C18:C20,C22:C23,C25:C27,C29:C36)</f>
        <v>0</v>
      </c>
      <c r="E5" s="132" t="str">
        <f>Tags!B36</f>
        <v>Percentage</v>
      </c>
      <c r="F5" s="134">
        <f>F3/F4</f>
        <v>0</v>
      </c>
      <c r="G5" s="135"/>
      <c r="H5" s="441"/>
    </row>
    <row r="6" spans="1:8" ht="12.95" customHeight="1">
      <c r="B6" s="132" t="str">
        <f>Tags!B33</f>
        <v>Not measured</v>
      </c>
      <c r="C6" s="133">
        <f>C4-C5</f>
        <v>22</v>
      </c>
      <c r="E6" s="132" t="str">
        <f>Tags!B37</f>
        <v>Category Value</v>
      </c>
      <c r="F6" s="133">
        <f>VLOOKUP(A1,Evaluation!$A$7:$M$15,11)</f>
        <v>20</v>
      </c>
      <c r="G6" s="44"/>
      <c r="H6" s="442"/>
    </row>
    <row r="7" spans="1:8" ht="12.95" customHeight="1"/>
    <row r="8" spans="1:8" ht="51.95" customHeight="1">
      <c r="A8" s="18">
        <v>4</v>
      </c>
      <c r="B8" s="17" t="str">
        <f>Tags!B55</f>
        <v>Item List</v>
      </c>
      <c r="C8" s="89" t="str">
        <f>Tags!B56</f>
        <v>Measured value</v>
      </c>
      <c r="D8" s="8" t="str">
        <f>E4</f>
        <v>Maximum Score</v>
      </c>
      <c r="E8" s="8" t="str">
        <f>E3</f>
        <v>Score</v>
      </c>
      <c r="F8" s="8" t="str">
        <f>Tags!D57</f>
        <v>Maximum Contribuition for Final Score</v>
      </c>
      <c r="G8" s="8" t="str">
        <f>Tags!D58</f>
        <v>Contribuition for Final Score</v>
      </c>
      <c r="H8" s="8" t="str">
        <f>Tags!D59</f>
        <v>Remarks</v>
      </c>
    </row>
    <row r="9" spans="1:8" ht="75" customHeight="1">
      <c r="A9" s="152" t="s">
        <v>45</v>
      </c>
      <c r="B9" s="137" t="str">
        <f>Languages!B67</f>
        <v>Pillar placement for at least 85% of bays:
• does not intrude into the parking area = 8 
• at beginning of stall = 0
• next to car door = 0
• at back of stall but intrudes into the parking area = 4</v>
      </c>
      <c r="C9" s="100"/>
      <c r="D9" s="15">
        <v>8</v>
      </c>
      <c r="E9" s="16" t="str">
        <f>IF(C9=Options!B45,8,(IF(OR(C9=Options!B46,C9=Options!B47),0,IF(C9=Options!B48,4,"NA"))))</f>
        <v>NA</v>
      </c>
      <c r="F9" s="60">
        <f>D9/$F$4*$F$6</f>
        <v>3.7209302325581395</v>
      </c>
      <c r="G9" s="60">
        <f>IF(ISNUMBER(E9),E9/$F$4*$F$6,0)</f>
        <v>0</v>
      </c>
      <c r="H9" s="144"/>
    </row>
    <row r="10" spans="1:8" ht="36" customHeight="1">
      <c r="A10" s="152" t="s">
        <v>46</v>
      </c>
      <c r="B10" s="137" t="str">
        <f>Languages!B68</f>
        <v>Visibility (many/few dead corners, walls in the car park etc.)
Good=4, Medium=2 or Bad=0</v>
      </c>
      <c r="C10" s="100"/>
      <c r="D10" s="15">
        <v>4</v>
      </c>
      <c r="E10" s="16" t="str">
        <f>IF(C10=Options!B50,4,IF(C10=Options!B52,0,IF(C10=Options!B51,2,"NA")))</f>
        <v>NA</v>
      </c>
      <c r="F10" s="60">
        <f>D10/$F$4*$F$6</f>
        <v>1.8604651162790697</v>
      </c>
      <c r="G10" s="60">
        <f>IF(ISNUMBER(E10),E10/$F$4*$F$6,0)</f>
        <v>0</v>
      </c>
      <c r="H10" s="144"/>
    </row>
    <row r="11" spans="1:8" ht="24" customHeight="1">
      <c r="A11" s="455" t="s">
        <v>47</v>
      </c>
      <c r="B11" s="140" t="str">
        <f>Languages!B69</f>
        <v>Signage for car driver:</v>
      </c>
      <c r="C11" s="157"/>
      <c r="D11" s="449">
        <v>7</v>
      </c>
      <c r="E11" s="16" t="str">
        <f>IF(ISERROR(E12+E14+E15+E16+E18+E19+E20),"NA",E12+SUM(E14:E16)+SUM(E18:E20))</f>
        <v>NA</v>
      </c>
      <c r="F11" s="451">
        <f>D11/$F$4*$F$6</f>
        <v>3.2558139534883725</v>
      </c>
      <c r="G11" s="451">
        <f>IF(ISNUMBER(E11),E11/$F$4*$F$6,0)</f>
        <v>0</v>
      </c>
      <c r="H11" s="460"/>
    </row>
    <row r="12" spans="1:8" ht="24" customHeight="1">
      <c r="A12" s="456"/>
      <c r="B12" s="158" t="str">
        <f>Languages!B70</f>
        <v>Do traffic signs conform to national road code?</v>
      </c>
      <c r="C12" s="103"/>
      <c r="D12" s="459"/>
      <c r="E12" s="27" t="str">
        <f>IF(C12=yes,1,IF(C12=no,0,"NA"))</f>
        <v>NA</v>
      </c>
      <c r="F12" s="458"/>
      <c r="G12" s="458"/>
      <c r="H12" s="461"/>
    </row>
    <row r="13" spans="1:8" ht="24" customHeight="1">
      <c r="A13" s="456"/>
      <c r="B13" s="159" t="str">
        <f>Languages!B71</f>
        <v xml:space="preserve">Routing and turn signs: Is signage clear, complete and unambiguous? </v>
      </c>
      <c r="C13" s="160"/>
      <c r="D13" s="459"/>
      <c r="E13" s="20"/>
      <c r="F13" s="458"/>
      <c r="G13" s="458"/>
      <c r="H13" s="461"/>
    </row>
    <row r="14" spans="1:8" ht="24" customHeight="1">
      <c r="A14" s="456"/>
      <c r="B14" s="150" t="str">
        <f>Languages!B72</f>
        <v>Complete ?</v>
      </c>
      <c r="C14" s="102"/>
      <c r="D14" s="459"/>
      <c r="E14" s="27" t="str">
        <f>IF(C14=yes,1,IF(C14=no,0,"NA"))</f>
        <v>NA</v>
      </c>
      <c r="F14" s="458"/>
      <c r="G14" s="458"/>
      <c r="H14" s="461"/>
    </row>
    <row r="15" spans="1:8" ht="24" customHeight="1">
      <c r="A15" s="456"/>
      <c r="B15" s="150" t="str">
        <f>Languages!B73</f>
        <v>Easy to see ?</v>
      </c>
      <c r="C15" s="97"/>
      <c r="D15" s="459"/>
      <c r="E15" s="27" t="str">
        <f>IF(C15=yes,1,IF(C15=no,0,"NA"))</f>
        <v>NA</v>
      </c>
      <c r="F15" s="458"/>
      <c r="G15" s="458"/>
      <c r="H15" s="461"/>
    </row>
    <row r="16" spans="1:8" ht="24" customHeight="1">
      <c r="A16" s="456"/>
      <c r="B16" s="150" t="str">
        <f>Languages!B74</f>
        <v>Unambiguous ?</v>
      </c>
      <c r="C16" s="97"/>
      <c r="D16" s="459"/>
      <c r="E16" s="27" t="str">
        <f>IF(C16=yes,1,IF(C16=no,0,"NA"))</f>
        <v>NA</v>
      </c>
      <c r="F16" s="458"/>
      <c r="G16" s="458"/>
      <c r="H16" s="461"/>
    </row>
    <row r="17" spans="1:8" ht="24" customHeight="1">
      <c r="A17" s="456"/>
      <c r="B17" s="159" t="str">
        <f>Languages!B75</f>
        <v xml:space="preserve">Exit signs in the car park: Is signage clear, complete and unambiguous? </v>
      </c>
      <c r="C17" s="21"/>
      <c r="D17" s="459"/>
      <c r="E17" s="20"/>
      <c r="F17" s="458"/>
      <c r="G17" s="458"/>
      <c r="H17" s="461"/>
    </row>
    <row r="18" spans="1:8" ht="24" customHeight="1">
      <c r="A18" s="456"/>
      <c r="B18" s="150" t="str">
        <f>Languages!B76</f>
        <v>Complete ?</v>
      </c>
      <c r="C18" s="97"/>
      <c r="D18" s="459"/>
      <c r="E18" s="27" t="str">
        <f>IF(C18=yes,1,IF(C18=no,0,"NA"))</f>
        <v>NA</v>
      </c>
      <c r="F18" s="458"/>
      <c r="G18" s="458"/>
      <c r="H18" s="461"/>
    </row>
    <row r="19" spans="1:8" ht="24" customHeight="1">
      <c r="A19" s="456"/>
      <c r="B19" s="150" t="str">
        <f>Languages!B77</f>
        <v>Easy to see ?</v>
      </c>
      <c r="C19" s="97"/>
      <c r="D19" s="459"/>
      <c r="E19" s="27" t="str">
        <f>IF(C19=yes,1,IF(C19=no,0,"NA"))</f>
        <v>NA</v>
      </c>
      <c r="F19" s="458"/>
      <c r="G19" s="458"/>
      <c r="H19" s="461"/>
    </row>
    <row r="20" spans="1:8" ht="24" customHeight="1">
      <c r="A20" s="457"/>
      <c r="B20" s="150" t="str">
        <f>Languages!B78</f>
        <v>Unambiguous ?</v>
      </c>
      <c r="C20" s="97"/>
      <c r="D20" s="450"/>
      <c r="E20" s="27" t="str">
        <f>IF(C20=yes,1,IF(C20=no,0,"NA"))</f>
        <v>NA</v>
      </c>
      <c r="F20" s="452"/>
      <c r="G20" s="452"/>
      <c r="H20" s="462"/>
    </row>
    <row r="21" spans="1:8" ht="24" customHeight="1">
      <c r="A21" s="455" t="s">
        <v>48</v>
      </c>
      <c r="B21" s="140" t="str">
        <f>Languages!B79</f>
        <v>Parking bay marks</v>
      </c>
      <c r="C21" s="157"/>
      <c r="D21" s="449">
        <v>2</v>
      </c>
      <c r="E21" s="16" t="str">
        <f>IF(ISERROR(E22+E23),"NA",SUM(E22:E23))</f>
        <v>NA</v>
      </c>
      <c r="F21" s="451">
        <f>D21/$F$4*$F$6</f>
        <v>0.93023255813953487</v>
      </c>
      <c r="G21" s="451">
        <f>IF(ISNUMBER(E21),E21/$F$4*$F$6,0)</f>
        <v>0</v>
      </c>
      <c r="H21" s="460"/>
    </row>
    <row r="22" spans="1:8" ht="24" customHeight="1">
      <c r="A22" s="456"/>
      <c r="B22" s="158" t="str">
        <f>Languages!B80</f>
        <v>Parking bays are clearly marked ?</v>
      </c>
      <c r="C22" s="102"/>
      <c r="D22" s="459"/>
      <c r="E22" s="27" t="str">
        <f>IF(C22=yes,1,IF(C22=no,0,"NA"))</f>
        <v>NA</v>
      </c>
      <c r="F22" s="458"/>
      <c r="G22" s="458"/>
      <c r="H22" s="461"/>
    </row>
    <row r="23" spans="1:8" ht="24" customHeight="1">
      <c r="A23" s="457"/>
      <c r="B23" s="150" t="str">
        <f>Languages!B81</f>
        <v>Bay markings extend up walls to assist driver ?</v>
      </c>
      <c r="C23" s="97"/>
      <c r="D23" s="450"/>
      <c r="E23" s="27" t="str">
        <f>IF(C23=yes,1,IF(C23=no,0,"NA"))</f>
        <v>NA</v>
      </c>
      <c r="F23" s="452"/>
      <c r="G23" s="452"/>
      <c r="H23" s="462"/>
    </row>
    <row r="24" spans="1:8" ht="24" customHeight="1">
      <c r="A24" s="455" t="s">
        <v>49</v>
      </c>
      <c r="B24" s="140" t="str">
        <f>Languages!B82</f>
        <v>Are Road Markings:</v>
      </c>
      <c r="C24" s="157"/>
      <c r="D24" s="449">
        <v>3</v>
      </c>
      <c r="E24" s="16" t="str">
        <f>IF(ISERROR(E25+E26+E27),"NA",SUM(E25:E27))</f>
        <v>NA</v>
      </c>
      <c r="F24" s="451">
        <f>D24/$F$4*$F$6</f>
        <v>1.3953488372093024</v>
      </c>
      <c r="G24" s="451">
        <f>IF(ISNUMBER(E24),E24/$F$4*$F$6,0)</f>
        <v>0</v>
      </c>
      <c r="H24" s="460"/>
    </row>
    <row r="25" spans="1:8" ht="24" customHeight="1">
      <c r="A25" s="456"/>
      <c r="B25" s="150" t="str">
        <f>Languages!B83</f>
        <v>Complete ?</v>
      </c>
      <c r="C25" s="102"/>
      <c r="D25" s="459"/>
      <c r="E25" s="27" t="str">
        <f>IF(C25=yes,1,IF(C25=no,0,"NA"))</f>
        <v>NA</v>
      </c>
      <c r="F25" s="458"/>
      <c r="G25" s="458"/>
      <c r="H25" s="461"/>
    </row>
    <row r="26" spans="1:8" ht="24" customHeight="1">
      <c r="A26" s="456"/>
      <c r="B26" s="150" t="str">
        <f>Languages!B84</f>
        <v>Easy to see ?</v>
      </c>
      <c r="C26" s="97"/>
      <c r="D26" s="459"/>
      <c r="E26" s="27" t="str">
        <f>IF(C26=yes,1,IF(C26=no,0,"NA"))</f>
        <v>NA</v>
      </c>
      <c r="F26" s="458"/>
      <c r="G26" s="458"/>
      <c r="H26" s="461"/>
    </row>
    <row r="27" spans="1:8" ht="24" customHeight="1">
      <c r="A27" s="457"/>
      <c r="B27" s="150" t="str">
        <f>Languages!B85</f>
        <v>Unambiguous ?</v>
      </c>
      <c r="C27" s="97"/>
      <c r="D27" s="450"/>
      <c r="E27" s="27" t="str">
        <f>IF(C27=yes,1,IF(C27=no,0,"NA"))</f>
        <v>NA</v>
      </c>
      <c r="F27" s="452"/>
      <c r="G27" s="452"/>
      <c r="H27" s="462"/>
    </row>
    <row r="28" spans="1:8" ht="36" customHeight="1">
      <c r="A28" s="455" t="s">
        <v>50</v>
      </c>
      <c r="B28" s="140" t="str">
        <f>Languages!B86</f>
        <v>Availability of spaces for disabled with wheelchair access anounced at the entrance the car park:</v>
      </c>
      <c r="C28" s="157"/>
      <c r="D28" s="449">
        <v>4</v>
      </c>
      <c r="E28" s="16" t="str">
        <f>IF(ISERROR(E29+E30+E31+E32),"NA",SUM(E29:E32))</f>
        <v>NA</v>
      </c>
      <c r="F28" s="451">
        <f>D28/$F$4*$F$6</f>
        <v>1.8604651162790697</v>
      </c>
      <c r="G28" s="451">
        <f>IF(ISNUMBER(E28),E28/$F$4*$F$6,0)</f>
        <v>0</v>
      </c>
      <c r="H28" s="460"/>
    </row>
    <row r="29" spans="1:8" ht="24" customHeight="1">
      <c r="A29" s="456"/>
      <c r="B29" s="150" t="str">
        <f>Languages!B87</f>
        <v>Accessible for wheelchair ?</v>
      </c>
      <c r="C29" s="102"/>
      <c r="D29" s="459"/>
      <c r="E29" s="27" t="str">
        <f>IF(C29=yes,1,IF(C29=no,0,"NA"))</f>
        <v>NA</v>
      </c>
      <c r="F29" s="458"/>
      <c r="G29" s="458"/>
      <c r="H29" s="461"/>
    </row>
    <row r="30" spans="1:8" ht="24" customHeight="1">
      <c r="A30" s="456"/>
      <c r="B30" s="150" t="str">
        <f>Languages!B88</f>
        <v>Bays minimum 3.5 m wide ?</v>
      </c>
      <c r="C30" s="97"/>
      <c r="D30" s="459"/>
      <c r="E30" s="27" t="str">
        <f>IF(C30=yes,1,IF(C30=no,0,"NA"))</f>
        <v>NA</v>
      </c>
      <c r="F30" s="458"/>
      <c r="G30" s="458"/>
      <c r="H30" s="461"/>
    </row>
    <row r="31" spans="1:8" ht="24" customHeight="1">
      <c r="A31" s="456"/>
      <c r="B31" s="150" t="str">
        <f>Languages!B89</f>
        <v>Close to pedestrian exit ?</v>
      </c>
      <c r="C31" s="97"/>
      <c r="D31" s="459"/>
      <c r="E31" s="27" t="str">
        <f>IF(C31=yes,1,IF(C31=no,0,"NA"))</f>
        <v>NA</v>
      </c>
      <c r="F31" s="458"/>
      <c r="G31" s="458"/>
      <c r="H31" s="461"/>
    </row>
    <row r="32" spans="1:8" ht="24" customHeight="1">
      <c r="A32" s="457"/>
      <c r="B32" s="150" t="str">
        <f>Languages!B90</f>
        <v>Guidance to disabled spaces ?</v>
      </c>
      <c r="C32" s="97"/>
      <c r="D32" s="450"/>
      <c r="E32" s="27" t="str">
        <f>IF(C32=yes,1,IF(C32=no,0,"NA"))</f>
        <v>NA</v>
      </c>
      <c r="F32" s="452"/>
      <c r="G32" s="452"/>
      <c r="H32" s="462"/>
    </row>
    <row r="33" spans="1:8" ht="36" customHeight="1">
      <c r="A33" s="152" t="s">
        <v>51</v>
      </c>
      <c r="B33" s="137" t="str">
        <f>Languages!B91</f>
        <v>Parking angle at 85 % of bays:
(Angle 76-90° = 0, Angle  45-75° = 2)</v>
      </c>
      <c r="C33" s="100"/>
      <c r="D33" s="15">
        <v>2</v>
      </c>
      <c r="E33" s="16" t="str">
        <f>IF(C33=Options!B54,0,IF(C33=Options!B55,2,"NA"))</f>
        <v>NA</v>
      </c>
      <c r="F33" s="60">
        <f>D33/$F$4*$F$6</f>
        <v>0.93023255813953487</v>
      </c>
      <c r="G33" s="60">
        <f>IF(ISNUMBER(E33),E33/$F$4*$F$6,0)</f>
        <v>0</v>
      </c>
      <c r="H33" s="144"/>
    </row>
    <row r="34" spans="1:8" ht="101.1" customHeight="1">
      <c r="A34" s="152" t="s">
        <v>52</v>
      </c>
      <c r="B34" s="137" t="str">
        <f>Languages!B92</f>
        <v>Width of bays (85 % of bays), A or B: 
A: Parking angle 76 – 90 degrees
(2.25m = -5, 2.30m = 0, 2.35m = 2, 2.40m = 4, 2.45m = 6, 2.50m = 8) 
B: Parking angle 45-75 degrees
(2.25m = -5, 2.30m = 1, 2.35m = 3, 2.40m = 5, 2.45m = 8)
Width of 2.25m only applies for renovated car parks, new car parks must be minimum 2.30m</v>
      </c>
      <c r="C34" s="100"/>
      <c r="D34" s="15">
        <v>8</v>
      </c>
      <c r="E34" s="16" t="str">
        <f>IF(ISERROR(VLOOKUP(option4_8,'4. Parking Area'!D63:G69,D60)),"NA",VLOOKUP(option4_8,'4. Parking Area'!D63:G69,D60))</f>
        <v>NA</v>
      </c>
      <c r="F34" s="60">
        <f>D34/$F$4*$F$6</f>
        <v>3.7209302325581395</v>
      </c>
      <c r="G34" s="60">
        <f>IF(ISNUMBER(E34),E34/$F$4*$F$6,0)</f>
        <v>0</v>
      </c>
      <c r="H34" s="144"/>
    </row>
    <row r="35" spans="1:8" ht="243.95" customHeight="1">
      <c r="A35" s="152" t="s">
        <v>53</v>
      </c>
      <c r="B35" s="137" t="str">
        <f>Languages!B93</f>
        <v>Total unit measure of one way isle width and
depth of two parking bays, depending on parking angle and bay width:
Bay width: 2.50m / 2.45m / 2.40m / 2.35m / 2.30m
90° :           16.00 /  16.30 /  16.60 /  16.90 / 17.30
85° :           15.70 /  16.00 /  16.30 /  16.60 / 16.95
80° :           15.40 /  15.70 /  16.00 /  16.30 / 16.60
75° :           14.95 /  15.25 /  15.55 /  15.85 / 16.15
70° :           14.50 /  14.80 /  15.10 /  15.40 / 15.70
65° :           14.40 /  14.40 /  14.55 /  14.80 / 15.10
60° :           14.30 /  14.30 /  14.30 /  14.30 / 14.50
55° :           14.00 /  14.00 /  14.00 /  14.00 / 14.10
50° :           13.75 /  13.75 /  13.75 /  13.75 / 13.75
45° :           13.50 /  13.50 /  13.50 /  13.50 / 13.50
Total unit measure as above qualifies for 3 points. 
Up to 30 cm less qualifies for 2 points
Up to 60 cm less qualifies for 1 point
More than 60 cm less: no points given</v>
      </c>
      <c r="C35" s="100"/>
      <c r="D35" s="15">
        <v>3</v>
      </c>
      <c r="E35" s="16" t="str">
        <f>IF(C35=Options!B64,3,IF(C35=Options!B65,2,IF(C35=Options!B66,1,IF(C35=Options!B67,0,"NA"))))</f>
        <v>NA</v>
      </c>
      <c r="F35" s="60">
        <f>D35/$F$4*$F$6</f>
        <v>1.3953488372093024</v>
      </c>
      <c r="G35" s="60">
        <f>IF(ISNUMBER(E35),E35/$F$4*$F$6,0)</f>
        <v>0</v>
      </c>
      <c r="H35" s="144"/>
    </row>
    <row r="36" spans="1:8" ht="36" customHeight="1">
      <c r="A36" s="152" t="s">
        <v>54</v>
      </c>
      <c r="B36" s="137" t="str">
        <f>Languages!B94</f>
        <v>Kerb design to avoid damage to average vehicle’s wheels
•  Yes = 2, No protection = 0</v>
      </c>
      <c r="C36" s="100"/>
      <c r="D36" s="15">
        <v>2</v>
      </c>
      <c r="E36" s="16" t="str">
        <f>IF(C36=Options!B34,2,IF(C36=Options!B35,0,"NA"))</f>
        <v>NA</v>
      </c>
      <c r="F36" s="60">
        <f>D36/$F$4*$F$6</f>
        <v>0.93023255813953487</v>
      </c>
      <c r="G36" s="60">
        <f>IF(ISNUMBER(E36),E36/$F$4*$F$6,0)</f>
        <v>0</v>
      </c>
      <c r="H36" s="144"/>
    </row>
    <row r="37" spans="1:8" ht="24" customHeight="1">
      <c r="A37" s="161"/>
      <c r="B37" s="143" t="str">
        <f>CONCATENATE(Tags!$B$50," ",$B$1)</f>
        <v>Subtotals Parking Area</v>
      </c>
      <c r="C37" s="162"/>
      <c r="D37" s="2">
        <f>SUM(D9:D36)</f>
        <v>43</v>
      </c>
      <c r="E37" s="9">
        <f>SUM(E36,E35,E34,E33,E28,E24,E21,E11,E10,E9)</f>
        <v>0</v>
      </c>
      <c r="F37" s="9">
        <f>SUM(F9:F36)</f>
        <v>20.000000000000004</v>
      </c>
      <c r="G37" s="61">
        <f>SUM(G9:G36)</f>
        <v>0</v>
      </c>
      <c r="H37" s="156"/>
    </row>
    <row r="38" spans="1:8"/>
    <row r="39" spans="1:8" ht="15">
      <c r="A39" s="175" t="str">
        <f>Tags!B60</f>
        <v>Notes</v>
      </c>
    </row>
    <row r="40" spans="1:8"/>
    <row r="41" spans="1:8"/>
    <row r="42" spans="1:8"/>
    <row r="43" spans="1:8"/>
    <row r="44" spans="1:8"/>
    <row r="45" spans="1:8"/>
    <row r="46" spans="1:8"/>
    <row r="47" spans="1:8"/>
    <row r="48" spans="1:8"/>
    <row r="49" spans="3:7"/>
    <row r="50" spans="3:7"/>
    <row r="51" spans="3:7"/>
    <row r="52" spans="3:7"/>
    <row r="53" spans="3:7"/>
    <row r="54" spans="3:7"/>
    <row r="55" spans="3:7"/>
    <row r="56" spans="3:7"/>
    <row r="57" spans="3:7"/>
    <row r="58" spans="3:7"/>
    <row r="59" spans="3:7" hidden="1"/>
    <row r="60" spans="3:7" ht="14.25" hidden="1">
      <c r="C60" s="24" t="s">
        <v>1833</v>
      </c>
      <c r="D60" s="254">
        <f>IF(opt_angle=D71,2,IF(opt_angle=D72,3,4))</f>
        <v>4</v>
      </c>
      <c r="F60" s="24" t="s">
        <v>1829</v>
      </c>
      <c r="G60" s="254" t="e">
        <f>MATCH('4. Parking Area'!$C$34,$C$63:$C$68)</f>
        <v>#N/A</v>
      </c>
    </row>
    <row r="61" spans="3:7" hidden="1"/>
    <row r="62" spans="3:7" ht="14.25" hidden="1">
      <c r="C62"/>
      <c r="D62" s="255" t="s">
        <v>1831</v>
      </c>
      <c r="E62" s="255" t="s">
        <v>235</v>
      </c>
      <c r="F62" s="255" t="s">
        <v>236</v>
      </c>
      <c r="G62" s="255" t="s">
        <v>1830</v>
      </c>
    </row>
    <row r="63" spans="3:7" ht="14.25" hidden="1">
      <c r="C63" t="str">
        <f>Options!B57</f>
        <v xml:space="preserve"> 2.25 m - 2.30 m</v>
      </c>
      <c r="D63" s="255">
        <v>1</v>
      </c>
      <c r="E63" s="255">
        <v>-5</v>
      </c>
      <c r="F63" s="255">
        <v>-5</v>
      </c>
      <c r="G63" s="255" t="s">
        <v>237</v>
      </c>
    </row>
    <row r="64" spans="3:7" ht="14.25" hidden="1">
      <c r="C64" t="str">
        <f>Options!B58</f>
        <v xml:space="preserve"> 2.30 m - 2.35 m</v>
      </c>
      <c r="D64" s="255">
        <v>2</v>
      </c>
      <c r="E64" s="255">
        <v>0</v>
      </c>
      <c r="F64" s="255">
        <v>1</v>
      </c>
      <c r="G64" s="255" t="s">
        <v>237</v>
      </c>
    </row>
    <row r="65" spans="3:7" ht="14.25" hidden="1">
      <c r="C65" t="str">
        <f>Options!B59</f>
        <v xml:space="preserve"> 2.35 m - 2.40 m</v>
      </c>
      <c r="D65" s="255">
        <v>3</v>
      </c>
      <c r="E65" s="255">
        <v>2</v>
      </c>
      <c r="F65" s="255">
        <v>3</v>
      </c>
      <c r="G65" s="255" t="s">
        <v>237</v>
      </c>
    </row>
    <row r="66" spans="3:7" ht="14.25" hidden="1">
      <c r="C66" t="str">
        <f>Options!B60</f>
        <v xml:space="preserve"> 2.40 m - 2.45 m</v>
      </c>
      <c r="D66" s="255">
        <v>4</v>
      </c>
      <c r="E66" s="255">
        <v>4</v>
      </c>
      <c r="F66" s="255">
        <v>5</v>
      </c>
      <c r="G66" s="255" t="s">
        <v>237</v>
      </c>
    </row>
    <row r="67" spans="3:7" ht="14.25" hidden="1">
      <c r="C67" t="str">
        <f>Options!B61</f>
        <v xml:space="preserve"> 2.45 m - 2.50 m</v>
      </c>
      <c r="D67" s="255">
        <v>5</v>
      </c>
      <c r="E67" s="255">
        <v>6</v>
      </c>
      <c r="F67" s="255">
        <v>8</v>
      </c>
      <c r="G67" s="255" t="s">
        <v>237</v>
      </c>
    </row>
    <row r="68" spans="3:7" ht="14.25" hidden="1">
      <c r="C68" t="str">
        <f>Options!B62</f>
        <v xml:space="preserve"> above 2.50 m</v>
      </c>
      <c r="D68" s="255">
        <v>6</v>
      </c>
      <c r="E68" s="255">
        <v>8</v>
      </c>
      <c r="F68" s="255">
        <v>8</v>
      </c>
      <c r="G68" s="255" t="s">
        <v>237</v>
      </c>
    </row>
    <row r="69" spans="3:7" ht="14.25" hidden="1">
      <c r="C69"/>
      <c r="D69"/>
      <c r="E69" s="13" t="s">
        <v>237</v>
      </c>
      <c r="F69" s="13" t="s">
        <v>237</v>
      </c>
      <c r="G69" t="s">
        <v>237</v>
      </c>
    </row>
    <row r="70" spans="3:7" ht="14.25" hidden="1">
      <c r="D70"/>
      <c r="E70"/>
      <c r="F70"/>
      <c r="G70"/>
    </row>
    <row r="71" spans="3:7" hidden="1">
      <c r="C71" s="24" t="s">
        <v>1832</v>
      </c>
      <c r="D71" s="24" t="str">
        <f>Options!B54</f>
        <v>Angle 76°-90°</v>
      </c>
    </row>
    <row r="72" spans="3:7" hidden="1">
      <c r="D72" s="24" t="str">
        <f>Options!B55</f>
        <v>Angle  45°-75°</v>
      </c>
    </row>
  </sheetData>
  <sheetProtection algorithmName="SHA-512" hashValue="Tc8iIcG7X3rFsIVtfWfsvygRyz+4eH4wFCWW3/Nx3+/g6a3dCHOWEyeHo5P/FpdS6DxUpvgDQCMiAACFe+7Igg==" saltValue="avRg6iRGWAtasDfyBnJ6Gw==" spinCount="100000" sheet="1" objects="1" scenarios="1" formatRows="0" selectLockedCells="1"/>
  <mergeCells count="21">
    <mergeCell ref="H3:H6"/>
    <mergeCell ref="H11:H20"/>
    <mergeCell ref="H21:H23"/>
    <mergeCell ref="A21:A23"/>
    <mergeCell ref="A24:A27"/>
    <mergeCell ref="D24:D27"/>
    <mergeCell ref="F24:F27"/>
    <mergeCell ref="G24:G27"/>
    <mergeCell ref="A11:A20"/>
    <mergeCell ref="D11:D20"/>
    <mergeCell ref="F11:F20"/>
    <mergeCell ref="G11:G20"/>
    <mergeCell ref="D21:D23"/>
    <mergeCell ref="F21:F23"/>
    <mergeCell ref="G21:G23"/>
    <mergeCell ref="A28:A32"/>
    <mergeCell ref="D28:D32"/>
    <mergeCell ref="F28:F32"/>
    <mergeCell ref="G28:G32"/>
    <mergeCell ref="H24:H27"/>
    <mergeCell ref="H28:H32"/>
  </mergeCells>
  <phoneticPr fontId="24" type="noConversion"/>
  <conditionalFormatting sqref="H3:H6">
    <cfRule type="expression" dxfId="87" priority="1">
      <formula>$G$3="Fail"</formula>
    </cfRule>
    <cfRule type="expression" dxfId="86" priority="2">
      <formula>($G$3="Pass")</formula>
    </cfRule>
  </conditionalFormatting>
  <dataValidations count="1">
    <dataValidation type="list" allowBlank="1" showInputMessage="1" showErrorMessage="1" sqref="C14:C20 C12 C22:C23 C25:C27 C29:C32">
      <formula1>YesNo</formula1>
    </dataValidation>
  </dataValidations>
  <printOptions horizontalCentered="1"/>
  <pageMargins left="0.71" right="0.71" top="0.75000000000000011" bottom="0.75000000000000011" header="0.31" footer="0.31"/>
  <pageSetup paperSize="9" scale="46" orientation="portrait" horizontalDpi="300" verticalDpi="300"/>
  <headerFooter>
    <oddHeader>&amp;L&amp;"Calibri,Bold"&amp;K000000EPA - Checklist for the European Standard Parking Award</oddHeader>
    <oddFooter>&amp;L&amp;K000000[File]&amp;A</oddFooter>
  </headerFooter>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4" id="{594E81BC-5B4D-C549-A5E2-7880C71AF013}">
            <xm:f>$D$1=Tags!$B$21</xm:f>
            <x14:dxf>
              <font>
                <color rgb="FF9C0006"/>
              </font>
            </x14:dxf>
          </x14:cfRule>
          <xm:sqref>D1</xm:sqref>
        </x14:conditionalFormatting>
        <x14:conditionalFormatting xmlns:xm="http://schemas.microsoft.com/office/excel/2006/main">
          <x14:cfRule type="expression" priority="3" id="{9A982F5C-8AB0-2A4C-88FC-CCF00DA45351}">
            <xm:f>$D$1=Tags!$B$21</xm:f>
            <x14:dxf>
              <font>
                <color rgb="FF9C0006"/>
              </font>
            </x14:dxf>
          </x14:cfRule>
          <xm:sqref>E1</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14:formula1>
            <xm:f>Options!$B$45:$B$48</xm:f>
          </x14:formula1>
          <xm:sqref>C9</xm:sqref>
        </x14:dataValidation>
        <x14:dataValidation type="list" allowBlank="1" showInputMessage="1" showErrorMessage="1">
          <x14:formula1>
            <xm:f>Options!$B$50:$B$52</xm:f>
          </x14:formula1>
          <xm:sqref>C10</xm:sqref>
        </x14:dataValidation>
        <x14:dataValidation type="list" allowBlank="1" showInputMessage="1" showErrorMessage="1">
          <x14:formula1>
            <xm:f>Options!$B$54:$B$55</xm:f>
          </x14:formula1>
          <xm:sqref>C33</xm:sqref>
        </x14:dataValidation>
        <x14:dataValidation type="list" allowBlank="1" showInputMessage="1" showErrorMessage="1">
          <x14:formula1>
            <xm:f>Options!$B$57:$B$62</xm:f>
          </x14:formula1>
          <xm:sqref>C34</xm:sqref>
        </x14:dataValidation>
        <x14:dataValidation type="list" allowBlank="1" showInputMessage="1" showErrorMessage="1">
          <x14:formula1>
            <xm:f>Options!$B$34:$B$35</xm:f>
          </x14:formula1>
          <xm:sqref>C36</xm:sqref>
        </x14:dataValidation>
        <x14:dataValidation type="list" allowBlank="1" showInputMessage="1" showErrorMessage="1">
          <x14:formula1>
            <xm:f>Options!$B$64:$B$67</xm:f>
          </x14:formula1>
          <xm:sqref>C35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I46"/>
  <sheetViews>
    <sheetView showGridLines="0" workbookViewId="0">
      <pane ySplit="8" topLeftCell="A9" activePane="bottomLeft" state="frozenSplit"/>
      <selection activeCell="C11" sqref="C11:E11"/>
      <selection pane="bottomLeft" activeCell="C9" sqref="C9"/>
    </sheetView>
  </sheetViews>
  <sheetFormatPr baseColWidth="10" defaultColWidth="0" defaultRowHeight="13.5" zeroHeight="1"/>
  <cols>
    <col min="1" max="1" width="4.86328125" style="24" customWidth="1"/>
    <col min="2" max="2" width="58" style="24" customWidth="1"/>
    <col min="3" max="3" width="15.265625" style="24" customWidth="1"/>
    <col min="4" max="5" width="11" style="24" customWidth="1"/>
    <col min="6" max="6" width="15.86328125" style="24" customWidth="1"/>
    <col min="7" max="7" width="12.3984375" style="24" customWidth="1"/>
    <col min="8" max="8" width="48.3984375" style="24" customWidth="1"/>
    <col min="9" max="9" width="0.3984375" style="24" customWidth="1"/>
    <col min="10" max="16384" width="8.86328125" style="24" hidden="1"/>
  </cols>
  <sheetData>
    <row r="1" spans="1:8" ht="27.95" customHeight="1" thickTop="1" thickBot="1">
      <c r="A1" s="126">
        <v>5</v>
      </c>
      <c r="B1" s="127" t="str">
        <f>Languages!B95</f>
        <v>Vehicle Ramps</v>
      </c>
      <c r="C1" s="63"/>
      <c r="D1" s="64"/>
      <c r="E1" s="128" t="str">
        <f>IF(C6&gt;0,Tags!B21,Tags!B20)</f>
        <v>Incompleted</v>
      </c>
      <c r="F1" s="129" t="s">
        <v>485</v>
      </c>
      <c r="G1" s="130">
        <f>F5*F6</f>
        <v>0</v>
      </c>
      <c r="H1" s="131">
        <f>F5</f>
        <v>0</v>
      </c>
    </row>
    <row r="2" spans="1:8" ht="12.95" customHeight="1" thickTop="1"/>
    <row r="3" spans="1:8" ht="12.95" customHeight="1">
      <c r="B3" s="132" t="str">
        <f>Tags!B30</f>
        <v>Total Items</v>
      </c>
      <c r="C3" s="123">
        <f>IF(C9=yes,1,7)</f>
        <v>7</v>
      </c>
      <c r="E3" s="132" t="str">
        <f>Tags!B34</f>
        <v>Score</v>
      </c>
      <c r="F3" s="133">
        <f>E18</f>
        <v>0</v>
      </c>
      <c r="G3" s="44"/>
      <c r="H3" s="440" t="str">
        <f>Evaluation!M10</f>
        <v>Incomplete</v>
      </c>
    </row>
    <row r="4" spans="1:8" ht="12.95" customHeight="1">
      <c r="B4" s="132" t="str">
        <f>Tags!B31</f>
        <v>Total Items + SubItems</v>
      </c>
      <c r="C4" s="123">
        <f>IF(C9=yes,1,7)</f>
        <v>7</v>
      </c>
      <c r="E4" s="132" t="str">
        <f>Tags!B35</f>
        <v>Maximum Score</v>
      </c>
      <c r="F4" s="133">
        <f>D18</f>
        <v>13</v>
      </c>
      <c r="G4" s="44"/>
      <c r="H4" s="441"/>
    </row>
    <row r="5" spans="1:8" ht="12.95" customHeight="1">
      <c r="B5" s="132" t="str">
        <f>Tags!B32</f>
        <v>Itens Completed</v>
      </c>
      <c r="C5" s="133">
        <f>IF(C9=yes,1,COUNTA(C10:C11,C13:C17))</f>
        <v>0</v>
      </c>
      <c r="E5" s="132" t="str">
        <f>Tags!B36</f>
        <v>Percentage</v>
      </c>
      <c r="F5" s="134">
        <f>F3/F4</f>
        <v>0</v>
      </c>
      <c r="G5" s="135"/>
      <c r="H5" s="441"/>
    </row>
    <row r="6" spans="1:8" ht="12.95" customHeight="1">
      <c r="B6" s="132" t="str">
        <f>Tags!B33</f>
        <v>Not measured</v>
      </c>
      <c r="C6" s="133">
        <f>C4-C5</f>
        <v>7</v>
      </c>
      <c r="E6" s="132" t="str">
        <f>Tags!B37</f>
        <v>Category Value</v>
      </c>
      <c r="F6" s="133">
        <f>VLOOKUP(A1,Evaluation!$A$7:$M$15,11)</f>
        <v>8</v>
      </c>
      <c r="G6" s="44"/>
      <c r="H6" s="442"/>
    </row>
    <row r="7" spans="1:8" ht="12.95" customHeight="1"/>
    <row r="8" spans="1:8" ht="51.95" customHeight="1">
      <c r="A8" s="54">
        <v>5</v>
      </c>
      <c r="B8" s="17" t="str">
        <f>Tags!B55</f>
        <v>Item List</v>
      </c>
      <c r="C8" s="89" t="str">
        <f>Tags!B56</f>
        <v>Measured value</v>
      </c>
      <c r="D8" s="8" t="str">
        <f>E4</f>
        <v>Maximum Score</v>
      </c>
      <c r="E8" s="8" t="str">
        <f>E3</f>
        <v>Score</v>
      </c>
      <c r="F8" s="8" t="str">
        <f>Tags!D57</f>
        <v>Maximum Contribuition for Final Score</v>
      </c>
      <c r="G8" s="8" t="str">
        <f>Tags!D58</f>
        <v>Contribuition for Final Score</v>
      </c>
      <c r="H8" s="8" t="str">
        <f>Tags!D59</f>
        <v>Remarks</v>
      </c>
    </row>
    <row r="9" spans="1:8" ht="39.950000000000003" customHeight="1">
      <c r="A9" s="472" t="str">
        <f>Languages!B96</f>
        <v>Is this a Single level car park without vehicular ramps or ramper floor?</v>
      </c>
      <c r="B9" s="473" t="e">
        <f>VLOOKUP(#REF!,Language_Table,2)</f>
        <v>#REF!</v>
      </c>
      <c r="C9" s="104"/>
      <c r="D9" s="23">
        <v>10</v>
      </c>
      <c r="E9" s="23">
        <f>IF(C9=yes,10,0)</f>
        <v>0</v>
      </c>
      <c r="F9" s="60">
        <f>D9/$F$4*$F$6</f>
        <v>6.1538461538461542</v>
      </c>
      <c r="G9" s="60">
        <f>IF(ISNUMBER(E9),E9/$F$4*$F$6,0)</f>
        <v>0</v>
      </c>
      <c r="H9" s="169"/>
    </row>
    <row r="10" spans="1:8" ht="24" customHeight="1">
      <c r="A10" s="164" t="s">
        <v>55</v>
      </c>
      <c r="B10" s="165" t="str">
        <f>Languages!B97</f>
        <v>Ramp surface between parking areas (Anti slip 1, Smooth 0, no ramps 1)</v>
      </c>
      <c r="C10" s="100"/>
      <c r="D10" s="23">
        <v>1</v>
      </c>
      <c r="E10" s="23" t="str">
        <f>IF(noramps&lt;&gt;yes,IF(C10=Options!B69,1,IF(C10=Options!B70,0,IF(C10=Options!B71,1,"NA"))),"SLP")</f>
        <v>NA</v>
      </c>
      <c r="F10" s="60">
        <f>D10/$F$4*$F$6</f>
        <v>0.61538461538461542</v>
      </c>
      <c r="G10" s="60">
        <f>IF(ISNUMBER(E10),E10/$F$4*$F$6,0)</f>
        <v>0</v>
      </c>
      <c r="H10" s="169"/>
    </row>
    <row r="11" spans="1:8" ht="36" customHeight="1">
      <c r="A11" s="164" t="s">
        <v>56</v>
      </c>
      <c r="B11" s="165" t="str">
        <f>Languages!B98</f>
        <v>Ramp longitudinal gradient connecting ramps (not used for parking)
•  &lt;10%=3, 10-15%=1, &gt;15%=0, no ramps=3</v>
      </c>
      <c r="C11" s="100"/>
      <c r="D11" s="23">
        <v>3</v>
      </c>
      <c r="E11" s="23" t="str">
        <f>IF(noramps=no,IF(C11=Options!B194,3,IF(C11=Options!B195,1,IF(C11=Options!B196,0,IF(C11=Options!B197,3,"NA")))),"SLP")</f>
        <v>SLP</v>
      </c>
      <c r="F11" s="60">
        <f t="shared" ref="F11:F17" si="0">D11/$F$4*$F$6</f>
        <v>1.8461538461538463</v>
      </c>
      <c r="G11" s="60">
        <f>IF(ISNUMBER(E11),E11/$F$4*$F$6,0)</f>
        <v>0</v>
      </c>
      <c r="H11" s="169"/>
    </row>
    <row r="12" spans="1:8" ht="24" customHeight="1">
      <c r="A12" s="469" t="s">
        <v>57</v>
      </c>
      <c r="B12" s="166" t="str">
        <f>Languages!B99</f>
        <v xml:space="preserve">Ramp width (between kerbs) all ramps measured at narrowest point </v>
      </c>
      <c r="C12" s="22"/>
      <c r="D12" s="474">
        <v>2</v>
      </c>
      <c r="E12" s="474" t="str">
        <f>IF(noramps=no,IF(C14=A43,0,IF(C14=A44,1,IF(C14=A45,2,IF(C14=A46,2,"NA")))),"SLP")</f>
        <v>SLP</v>
      </c>
      <c r="F12" s="463">
        <f t="shared" si="0"/>
        <v>1.2307692307692308</v>
      </c>
      <c r="G12" s="463">
        <f>IF(ISNUMBER(E12),E11/$F$4*$F$6,0)</f>
        <v>0</v>
      </c>
      <c r="H12" s="466"/>
    </row>
    <row r="13" spans="1:8" ht="24" customHeight="1">
      <c r="A13" s="470"/>
      <c r="B13" s="167" t="str">
        <f>Languages!B100</f>
        <v>Curved ramps must be 1 m wider for same score. Are the ramps curbed?</v>
      </c>
      <c r="C13" s="105"/>
      <c r="D13" s="475"/>
      <c r="E13" s="475"/>
      <c r="F13" s="464"/>
      <c r="G13" s="464"/>
      <c r="H13" s="467"/>
    </row>
    <row r="14" spans="1:8" ht="24" customHeight="1">
      <c r="A14" s="471"/>
      <c r="B14" s="168" t="str">
        <f>Languages!B101</f>
        <v>Please choose width. &lt; 3m=0, 3-3.3m=1, &gt;3.3m=2, no ramps=2</v>
      </c>
      <c r="C14" s="106"/>
      <c r="D14" s="476"/>
      <c r="E14" s="476"/>
      <c r="F14" s="465"/>
      <c r="G14" s="465"/>
      <c r="H14" s="468"/>
    </row>
    <row r="15" spans="1:8" ht="48.95" customHeight="1">
      <c r="A15" s="164" t="s">
        <v>58</v>
      </c>
      <c r="B15" s="165" t="str">
        <f>Languages!B102</f>
        <v>Ramp curvature (external radius) curved ramps
•  up to 9m=0, 9–10 m=1, &gt;10m=2, no ramps=2
At dual way ramps this measure refers to the inner lane.</v>
      </c>
      <c r="C15" s="100"/>
      <c r="D15" s="23">
        <v>2</v>
      </c>
      <c r="E15" s="23" t="str">
        <f>IF(noramps&lt;&gt;yes,IF(C15=Options!B209,0,IF(C15=Options!B210,1,IF(C15=Options!B211,2,IF(C15=Options!B212,2,"NA")))),"SLP")</f>
        <v>NA</v>
      </c>
      <c r="F15" s="60">
        <f t="shared" si="0"/>
        <v>1.2307692307692308</v>
      </c>
      <c r="G15" s="60">
        <f>IF(ISNUMBER(E15),E15/$F$4*$F$6,0)</f>
        <v>0</v>
      </c>
      <c r="H15" s="169"/>
    </row>
    <row r="16" spans="1:8" ht="36" customHeight="1">
      <c r="A16" s="164" t="s">
        <v>90</v>
      </c>
      <c r="B16" s="165" t="str">
        <f>Languages!B103</f>
        <v>Approach curve to straight ramps
•  &lt;7.5m=0, 7.5–9m=1, &gt;9m=2, no ramps=2</v>
      </c>
      <c r="C16" s="100"/>
      <c r="D16" s="23">
        <v>2</v>
      </c>
      <c r="E16" s="23" t="str">
        <f>IF(noramps&lt;&gt;yes,IF(C16=Options!B214,0,IF(C16=Options!B215,1,IF(C16=Options!B216,2,IF(C16=Options!B217,2,"NA")))),"SLP")</f>
        <v>NA</v>
      </c>
      <c r="F16" s="60">
        <f t="shared" si="0"/>
        <v>1.2307692307692308</v>
      </c>
      <c r="G16" s="60">
        <f>IF(ISNUMBER(E16),E16/$F$4*$F$6,0)</f>
        <v>0</v>
      </c>
      <c r="H16" s="169"/>
    </row>
    <row r="17" spans="1:8" ht="36" customHeight="1">
      <c r="A17" s="164" t="s">
        <v>91</v>
      </c>
      <c r="B17" s="165" t="str">
        <f>Languages!B104</f>
        <v>Ramped parking floor longitudinal gradient
•  &lt;5%=3, 5-7 =1, &gt;7%=0, no gradient=3</v>
      </c>
      <c r="C17" s="100"/>
      <c r="D17" s="23">
        <v>3</v>
      </c>
      <c r="E17" s="23" t="str">
        <f>IF(noramps&lt;&gt;yes,IF(C17=Options!B219,3,IF(C17=Options!B220,1,IF(C17=Options!B221,0,IF(C17=Options!B222,3,"NA")))),"SLP")</f>
        <v>NA</v>
      </c>
      <c r="F17" s="60">
        <f t="shared" si="0"/>
        <v>1.8461538461538463</v>
      </c>
      <c r="G17" s="60">
        <f>IF(ISNUMBER(E17),E17/$F$4*$F$6,0)</f>
        <v>0</v>
      </c>
      <c r="H17" s="169"/>
    </row>
    <row r="18" spans="1:8" ht="24" customHeight="1">
      <c r="A18" s="5"/>
      <c r="B18" s="143" t="str">
        <f>CONCATENATE(Tags!$B$50," ",$B$1)</f>
        <v>Subtotals Vehicle Ramps</v>
      </c>
      <c r="C18" s="3"/>
      <c r="D18" s="2">
        <f>SUM(D10:D17)</f>
        <v>13</v>
      </c>
      <c r="E18" s="9">
        <f>SUM(E9:E17)</f>
        <v>0</v>
      </c>
      <c r="F18" s="9">
        <f>SUM(F10:F17)</f>
        <v>8</v>
      </c>
      <c r="G18" s="61">
        <f>SUM(G9:G17)</f>
        <v>0</v>
      </c>
      <c r="H18" s="156"/>
    </row>
    <row r="19" spans="1:8"/>
    <row r="20" spans="1:8" ht="15">
      <c r="A20" s="175" t="str">
        <f>Tags!B60</f>
        <v>Notes</v>
      </c>
    </row>
    <row r="21" spans="1:8"/>
    <row r="22" spans="1:8"/>
    <row r="23" spans="1:8"/>
    <row r="24" spans="1:8"/>
    <row r="25" spans="1:8"/>
    <row r="26" spans="1:8"/>
    <row r="27" spans="1:8"/>
    <row r="28" spans="1:8"/>
    <row r="29" spans="1:8"/>
    <row r="30" spans="1:8"/>
    <row r="31" spans="1:8"/>
    <row r="32" spans="1:8"/>
    <row r="33" spans="1:7"/>
    <row r="34" spans="1:7"/>
    <row r="35" spans="1:7"/>
    <row r="36" spans="1:7"/>
    <row r="37" spans="1:7"/>
    <row r="38" spans="1:7"/>
    <row r="39" spans="1:7" hidden="1"/>
    <row r="40" spans="1:7" hidden="1"/>
    <row r="41" spans="1:7" hidden="1">
      <c r="A41" s="24" t="s">
        <v>525</v>
      </c>
    </row>
    <row r="42" spans="1:7" hidden="1"/>
    <row r="43" spans="1:7" ht="14.25" hidden="1">
      <c r="A43" s="6" t="str">
        <f>IF($C$13=no,Options!B199,Options!B204)</f>
        <v>&lt; 4m</v>
      </c>
      <c r="E43" s="6"/>
      <c r="G43" s="6"/>
    </row>
    <row r="44" spans="1:7" ht="14.25" hidden="1">
      <c r="A44" s="6" t="str">
        <f>IF($C$13=no,Options!B200,Options!B205)</f>
        <v>4m - 4.3m</v>
      </c>
      <c r="E44" s="6"/>
      <c r="G44" s="6"/>
    </row>
    <row r="45" spans="1:7" ht="14.25" hidden="1">
      <c r="A45" s="6" t="str">
        <f>IF($C$13=no,Options!B201,Options!B206)</f>
        <v>&gt;4.3m</v>
      </c>
      <c r="E45" s="6"/>
      <c r="G45" s="6"/>
    </row>
    <row r="46" spans="1:7" ht="14.25" hidden="1">
      <c r="A46" s="6" t="str">
        <f>IF($C$13=no,Options!B202,Options!B207)</f>
        <v>no ramps</v>
      </c>
      <c r="E46" s="6"/>
      <c r="G46" s="6"/>
    </row>
  </sheetData>
  <sheetProtection algorithmName="SHA-512" hashValue="aSyH0v/cO1hfVmEDPA4rBY6Zc41YlS3kIpLKduPTPym0rprHY7FWKZN7m1hVS2c+oYlCr/IYR7ch6QDmC4/yPg==" saltValue="L6YFmnrmuGKGijiGZEGEZg==" spinCount="100000" sheet="1" objects="1" scenarios="1" formatRows="0" selectLockedCells="1"/>
  <mergeCells count="8">
    <mergeCell ref="H3:H6"/>
    <mergeCell ref="G12:G14"/>
    <mergeCell ref="H12:H14"/>
    <mergeCell ref="A12:A14"/>
    <mergeCell ref="A9:B9"/>
    <mergeCell ref="D12:D14"/>
    <mergeCell ref="E12:E14"/>
    <mergeCell ref="F12:F14"/>
  </mergeCells>
  <phoneticPr fontId="24" type="noConversion"/>
  <conditionalFormatting sqref="C10:C17">
    <cfRule type="expression" dxfId="77" priority="18">
      <formula>($C$9=yes)</formula>
    </cfRule>
  </conditionalFormatting>
  <conditionalFormatting sqref="C9">
    <cfRule type="expression" dxfId="76" priority="17">
      <formula>$C$9="No"</formula>
    </cfRule>
  </conditionalFormatting>
  <conditionalFormatting sqref="H3:H6">
    <cfRule type="expression" dxfId="75" priority="1">
      <formula>$G$3="Fail"</formula>
    </cfRule>
    <cfRule type="expression" dxfId="74" priority="2">
      <formula>($G$3="Pass")</formula>
    </cfRule>
  </conditionalFormatting>
  <dataValidations count="3">
    <dataValidation type="list" allowBlank="1" showInputMessage="1" showErrorMessage="1" sqref="C9 C13">
      <formula1>YesNo</formula1>
    </dataValidation>
    <dataValidation type="custom" allowBlank="1" showInputMessage="1" showErrorMessage="1" sqref="C12">
      <formula1>OR(C12=0,C12=1,C12=2)</formula1>
    </dataValidation>
    <dataValidation type="list" allowBlank="1" showInputMessage="1" showErrorMessage="1" sqref="C14">
      <formula1>$A$43:$A$46</formula1>
    </dataValidation>
  </dataValidations>
  <printOptions horizontalCentered="1"/>
  <pageMargins left="0.71" right="0.71" top="0.75000000000000011" bottom="0.75000000000000011" header="0.31" footer="0.31"/>
  <pageSetup paperSize="9" scale="46" orientation="portrait" horizontalDpi="300" verticalDpi="300"/>
  <headerFooter>
    <oddHeader>&amp;L&amp;"Calibri,Bold"&amp;K000000EPA - Checklist for the European Standard Parking Award</oddHeader>
    <oddFooter>&amp;L&amp;K000000[File]&amp;A</oddFooter>
  </headerFooter>
  <drawing r:id="rId1"/>
  <extLst>
    <ext xmlns:x14="http://schemas.microsoft.com/office/spreadsheetml/2009/9/main" uri="{78C0D931-6437-407d-A8EE-F0AAD7539E65}">
      <x14:conditionalFormattings>
        <x14:conditionalFormatting xmlns:xm="http://schemas.microsoft.com/office/excel/2006/main">
          <x14:cfRule type="expression" priority="6" id="{0469647D-3138-2343-AEA0-FCF6FAE03779}">
            <xm:f>$D$1=Tags!$B$21</xm:f>
            <x14:dxf>
              <font>
                <color rgb="FF9C0006"/>
              </font>
            </x14:dxf>
          </x14:cfRule>
          <xm:sqref>D1</xm:sqref>
        </x14:conditionalFormatting>
        <x14:conditionalFormatting xmlns:xm="http://schemas.microsoft.com/office/excel/2006/main">
          <x14:cfRule type="expression" priority="5" id="{B1CD8E57-616F-F440-8AE0-F0B3B21F07B0}">
            <xm:f>$D$1=Tags!$B$21</xm:f>
            <x14:dxf>
              <font>
                <color rgb="FF9C0006"/>
              </font>
            </x14:dxf>
          </x14:cfRule>
          <xm:sqref>E1</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Options!$B$194:$B$197</xm:f>
          </x14:formula1>
          <xm:sqref>C11</xm:sqref>
        </x14:dataValidation>
        <x14:dataValidation type="list" allowBlank="1" showInputMessage="1" showErrorMessage="1">
          <x14:formula1>
            <xm:f>Options!$B$219:$B$222</xm:f>
          </x14:formula1>
          <xm:sqref>C17</xm:sqref>
        </x14:dataValidation>
        <x14:dataValidation type="list" allowBlank="1" showInputMessage="1" showErrorMessage="1">
          <x14:formula1>
            <xm:f>Options!$B$69:$B$71</xm:f>
          </x14:formula1>
          <xm:sqref>C10</xm:sqref>
        </x14:dataValidation>
        <x14:dataValidation type="list" allowBlank="1" showInputMessage="1" showErrorMessage="1">
          <x14:formula1>
            <xm:f>Options!$B$209:$B$212</xm:f>
          </x14:formula1>
          <xm:sqref>C15</xm:sqref>
        </x14:dataValidation>
        <x14:dataValidation type="list" allowBlank="1" showInputMessage="1" showErrorMessage="1">
          <x14:formula1>
            <xm:f>Options!$B$214:$B$217</xm:f>
          </x14:formula1>
          <xm:sqref>C16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62"/>
  <sheetViews>
    <sheetView showGridLines="0" workbookViewId="0">
      <pane ySplit="8" topLeftCell="A9" activePane="bottomLeft" state="frozenSplit"/>
      <selection activeCell="C11" sqref="C11:E11"/>
      <selection pane="bottomLeft" activeCell="C9" sqref="C9"/>
    </sheetView>
  </sheetViews>
  <sheetFormatPr baseColWidth="10" defaultColWidth="0" defaultRowHeight="14.25" zeroHeight="1"/>
  <cols>
    <col min="1" max="1" width="4.86328125" style="6" customWidth="1"/>
    <col min="2" max="2" width="58" style="6" customWidth="1"/>
    <col min="3" max="3" width="15.265625" style="6" customWidth="1"/>
    <col min="4" max="5" width="11" style="6" customWidth="1"/>
    <col min="6" max="6" width="15.86328125" style="6" customWidth="1"/>
    <col min="7" max="7" width="12.3984375" style="6" customWidth="1"/>
    <col min="8" max="8" width="48.3984375" style="6" customWidth="1"/>
    <col min="9" max="9" width="0.3984375" style="6" customWidth="1"/>
    <col min="10" max="16384" width="8.86328125" style="6" hidden="1"/>
  </cols>
  <sheetData>
    <row r="1" spans="1:8" s="24" customFormat="1" ht="27.95" customHeight="1" thickTop="1" thickBot="1">
      <c r="A1" s="126">
        <v>6</v>
      </c>
      <c r="B1" s="127" t="str">
        <f>Languages!B105</f>
        <v>Pedestrian Access</v>
      </c>
      <c r="C1" s="63"/>
      <c r="D1" s="64"/>
      <c r="E1" s="128" t="str">
        <f>IF(C6&gt;0,Tags!B21,Tags!B20)</f>
        <v>Incompleted</v>
      </c>
      <c r="F1" s="129" t="s">
        <v>485</v>
      </c>
      <c r="G1" s="130">
        <f>F5*F6</f>
        <v>0</v>
      </c>
      <c r="H1" s="131">
        <f>F5</f>
        <v>0</v>
      </c>
    </row>
    <row r="2" spans="1:8" s="24" customFormat="1" ht="12.95" customHeight="1" thickTop="1"/>
    <row r="3" spans="1:8" s="24" customFormat="1" ht="12.95" customHeight="1">
      <c r="B3" s="132" t="str">
        <f>Tags!B30</f>
        <v>Total Items</v>
      </c>
      <c r="C3" s="123">
        <v>13</v>
      </c>
      <c r="E3" s="132" t="str">
        <f>Tags!B34</f>
        <v>Score</v>
      </c>
      <c r="F3" s="133">
        <f>E36</f>
        <v>0</v>
      </c>
      <c r="G3" s="44"/>
      <c r="H3" s="440" t="str">
        <f>Evaluation!M11</f>
        <v>Incomplete</v>
      </c>
    </row>
    <row r="4" spans="1:8" s="24" customFormat="1" ht="12.95" customHeight="1">
      <c r="B4" s="132" t="str">
        <f>Tags!B31</f>
        <v>Total Items + SubItems</v>
      </c>
      <c r="C4" s="123">
        <f>IF(slcp=yes,5,23-2*(essl=no)-7*(emvc=yes))</f>
        <v>23</v>
      </c>
      <c r="E4" s="132" t="str">
        <f>Tags!B35</f>
        <v>Maximum Score</v>
      </c>
      <c r="F4" s="133">
        <f>D36</f>
        <v>43</v>
      </c>
      <c r="G4" s="44"/>
      <c r="H4" s="441"/>
    </row>
    <row r="5" spans="1:8" s="24" customFormat="1" ht="12.95" customHeight="1">
      <c r="B5" s="132" t="str">
        <f>Tags!B32</f>
        <v>Itens Completed</v>
      </c>
      <c r="C5" s="133">
        <f>COUNTA(C12:C15,C9:C9)+COUNTA(C10:C11,C16:C35)*(slcp=no)-COUNTA(C16:C17)*(essl=no)-COUNTA(C28:C35)*(emvc=yes)</f>
        <v>0</v>
      </c>
      <c r="E5" s="132" t="str">
        <f>Tags!B36</f>
        <v>Percentage</v>
      </c>
      <c r="F5" s="134">
        <f>F3/F4</f>
        <v>0</v>
      </c>
      <c r="G5" s="135"/>
      <c r="H5" s="441"/>
    </row>
    <row r="6" spans="1:8" s="24" customFormat="1" ht="12.95" customHeight="1">
      <c r="B6" s="132" t="str">
        <f>Tags!B33</f>
        <v>Not measured</v>
      </c>
      <c r="C6" s="133">
        <f>C4-C5</f>
        <v>23</v>
      </c>
      <c r="E6" s="132" t="str">
        <f>Tags!B37</f>
        <v>Category Value</v>
      </c>
      <c r="F6" s="133">
        <f>VLOOKUP(A1,Evaluation!$A$7:$M$15,11)</f>
        <v>16</v>
      </c>
      <c r="G6" s="44"/>
      <c r="H6" s="442"/>
    </row>
    <row r="7" spans="1:8" s="24" customFormat="1" ht="12.95" customHeight="1"/>
    <row r="8" spans="1:8" ht="51.95" customHeight="1">
      <c r="A8" s="54">
        <v>6</v>
      </c>
      <c r="B8" s="17" t="str">
        <f>Tags!B55</f>
        <v>Item List</v>
      </c>
      <c r="C8" s="89" t="str">
        <f>Tags!B56</f>
        <v>Measured value</v>
      </c>
      <c r="D8" s="8" t="str">
        <f>E4</f>
        <v>Maximum Score</v>
      </c>
      <c r="E8" s="8" t="str">
        <f>E3</f>
        <v>Score</v>
      </c>
      <c r="F8" s="8" t="str">
        <f>Tags!D57</f>
        <v>Maximum Contribuition for Final Score</v>
      </c>
      <c r="G8" s="8" t="str">
        <f>Tags!D58</f>
        <v>Contribuition for Final Score</v>
      </c>
      <c r="H8" s="8" t="str">
        <f>Tags!D59</f>
        <v>Remarks</v>
      </c>
    </row>
    <row r="9" spans="1:8" s="24" customFormat="1" ht="39.950000000000003" customHeight="1">
      <c r="A9" s="500" t="str">
        <f>Languages!B115</f>
        <v>Is this a Single level car park at ground floor, (not open surface) ?</v>
      </c>
      <c r="B9" s="501" t="e">
        <f>VLOOKUP(#REF!,Language_Table,2)</f>
        <v>#REF!</v>
      </c>
      <c r="C9" s="107"/>
      <c r="D9" s="23">
        <v>25</v>
      </c>
      <c r="E9" s="23">
        <f>IF(C9=yes,D9,0)</f>
        <v>0</v>
      </c>
      <c r="F9" s="65">
        <f>D9/$F$4*$F$6</f>
        <v>9.3023255813953494</v>
      </c>
      <c r="G9" s="65">
        <f>IF(ISNUMBER(E9),E9/$F$4*$F$6,0)</f>
        <v>0</v>
      </c>
      <c r="H9" s="163"/>
    </row>
    <row r="10" spans="1:8" s="24" customFormat="1" ht="39.950000000000003" customHeight="1">
      <c r="A10" s="500" t="str">
        <f>Languages!B116</f>
        <v>Is there elevators serving street level?</v>
      </c>
      <c r="B10" s="501" t="e">
        <f>VLOOKUP(#REF!,Language_Table,2)</f>
        <v>#REF!</v>
      </c>
      <c r="C10" s="107"/>
      <c r="D10" s="498"/>
      <c r="E10" s="499"/>
      <c r="F10" s="499"/>
      <c r="G10" s="499"/>
      <c r="H10" s="163"/>
    </row>
    <row r="11" spans="1:8" ht="39.950000000000003" customHeight="1">
      <c r="A11" s="500" t="str">
        <f>Languages!B128</f>
        <v>Are elevators the main vertical connection? (stairs only secondary or escape)</v>
      </c>
      <c r="B11" s="501" t="e">
        <f>VLOOKUP(#REF!,Language_Table,2)</f>
        <v>#REF!</v>
      </c>
      <c r="C11" s="109"/>
      <c r="D11" s="23">
        <v>8</v>
      </c>
      <c r="E11" s="23">
        <f>IF(slcp=yes,0,IF(emvc=yes,8,0))</f>
        <v>0</v>
      </c>
      <c r="F11" s="65">
        <f t="shared" ref="F11" si="0">D11/$F$4*$F$6</f>
        <v>2.9767441860465116</v>
      </c>
      <c r="G11" s="66">
        <f t="shared" ref="G11" si="1">IF(ISNUMBER(E11),E11/$F$4*$F$6,0)</f>
        <v>0</v>
      </c>
      <c r="H11" s="163"/>
    </row>
    <row r="12" spans="1:8" s="24" customFormat="1" ht="75" customHeight="1">
      <c r="A12" s="164" t="s">
        <v>79</v>
      </c>
      <c r="B12" s="165" t="str">
        <f>Languages!B107</f>
        <v>Headroom for pedestrians - excluding doors
• &lt;2.00m = 0
• 2.00m – 2.10m = 1
• 2.10m – 2.20m = 2
• &gt; 2.20m = 3</v>
      </c>
      <c r="C12" s="100"/>
      <c r="D12" s="23">
        <v>3</v>
      </c>
      <c r="E12" s="31" t="str">
        <f>IF(ISERROR(IF(C12=Options!B73,0,IF(C12=Options!B74,1,IF(C12=Options!B75,2,IF(C12=Options!B76,3,"NA"))))),"NA",IF(C12=Options!B73,0,IF(C12=Options!B74,1,IF(C12=Options!B75,2,IF(C12=Options!B76,3,"NA")))))</f>
        <v>NA</v>
      </c>
      <c r="F12" s="65">
        <f>D12/$F$4*$F$6</f>
        <v>1.1162790697674418</v>
      </c>
      <c r="G12" s="65">
        <f>IF(ISNUMBER(E12),E12/$F$4*$F$6,0)</f>
        <v>0</v>
      </c>
      <c r="H12" s="163"/>
    </row>
    <row r="13" spans="1:8" s="24" customFormat="1" ht="36" customHeight="1">
      <c r="A13" s="164" t="s">
        <v>80</v>
      </c>
      <c r="B13" s="165" t="str">
        <f>Languages!B108</f>
        <v>Separate walking route (i.e. heightened; zebra stripes or colours) (yes = 2, no = 0)</v>
      </c>
      <c r="C13" s="100"/>
      <c r="D13" s="23">
        <v>2</v>
      </c>
      <c r="E13" s="32" t="str">
        <f>IF(C13=yes,2,IF(C13=no,0,"NA"))</f>
        <v>NA</v>
      </c>
      <c r="F13" s="65">
        <f t="shared" ref="F13:F15" si="2">D13/$F$4*$F$6</f>
        <v>0.7441860465116279</v>
      </c>
      <c r="G13" s="65">
        <f t="shared" ref="G13:G15" si="3">IF(ISNUMBER(E13),E13/$F$4*$F$6,0)</f>
        <v>0</v>
      </c>
      <c r="H13" s="163"/>
    </row>
    <row r="14" spans="1:8" s="24" customFormat="1" ht="36" customHeight="1">
      <c r="A14" s="164" t="s">
        <v>81</v>
      </c>
      <c r="B14" s="165" t="str">
        <f>Languages!B109</f>
        <v>Are pedestrian entrance doors easy to use?
(Yes, automatic or open connection = 4, Easy to open = 2, No = 0)</v>
      </c>
      <c r="C14" s="100"/>
      <c r="D14" s="23">
        <v>4</v>
      </c>
      <c r="E14" s="32" t="str">
        <f>IF(C14=Options!B78,4,IF(C14=Options!B79,2,IF(C14=Options!B80,0,"NA")))</f>
        <v>NA</v>
      </c>
      <c r="F14" s="65">
        <f t="shared" si="2"/>
        <v>1.4883720930232558</v>
      </c>
      <c r="G14" s="65">
        <f t="shared" si="3"/>
        <v>0</v>
      </c>
      <c r="H14" s="163"/>
    </row>
    <row r="15" spans="1:8" s="24" customFormat="1" ht="36" customHeight="1">
      <c r="A15" s="164" t="s">
        <v>148</v>
      </c>
      <c r="B15" s="165" t="str">
        <f>Languages!B110</f>
        <v>Pedestrian access controlled by ticket/pass card when car park open (Yes=1, No=0)</v>
      </c>
      <c r="C15" s="100"/>
      <c r="D15" s="23">
        <v>1</v>
      </c>
      <c r="E15" s="32" t="str">
        <f>IF(C15=yes,1,IF(C15=no,0,"NA"))</f>
        <v>NA</v>
      </c>
      <c r="F15" s="65">
        <f t="shared" si="2"/>
        <v>0.37209302325581395</v>
      </c>
      <c r="G15" s="65">
        <f t="shared" si="3"/>
        <v>0</v>
      </c>
      <c r="H15" s="163"/>
    </row>
    <row r="16" spans="1:8" s="24" customFormat="1" ht="36" customHeight="1">
      <c r="A16" s="164" t="s">
        <v>1816</v>
      </c>
      <c r="B16" s="165" t="str">
        <f>Languages!B117</f>
        <v>Number of Elevators at street level:
(1 elevator = 1, 2 + elevators = 5)</v>
      </c>
      <c r="C16" s="100"/>
      <c r="D16" s="23">
        <v>5</v>
      </c>
      <c r="E16" s="32" t="str">
        <f>IF(slcp=no,IF(essl=yes,IF(C16=Options!B86,1,IF(C16=Options!B87,5,"NA")),"NA"),"NA")</f>
        <v>NA</v>
      </c>
      <c r="F16" s="65">
        <f t="shared" ref="F16:F17" si="4">D16/$F$4*$F$6</f>
        <v>1.8604651162790697</v>
      </c>
      <c r="G16" s="65">
        <f t="shared" ref="G16:G17" si="5">IF(ISNUMBER(E16),E16/$F$4*$F$6,0)</f>
        <v>0</v>
      </c>
      <c r="H16" s="163"/>
    </row>
    <row r="17" spans="1:8" s="24" customFormat="1" ht="36" customHeight="1">
      <c r="A17" s="164" t="s">
        <v>1817</v>
      </c>
      <c r="B17" s="165" t="str">
        <f>Languages!B118</f>
        <v>Size of elevators:
(More Than 8 people = 3, 4-8 people = 1, less than 4 = 0)</v>
      </c>
      <c r="C17" s="100"/>
      <c r="D17" s="23">
        <v>3</v>
      </c>
      <c r="E17" s="32" t="str">
        <f>IF(slcp=no,IF(essl=yes,IF(C17=Options!B89,3,IF(C17=Options!B90,1,IF(C17=Options!B91,0,"NA"))),"NA"),"NA")</f>
        <v>NA</v>
      </c>
      <c r="F17" s="65">
        <f t="shared" si="4"/>
        <v>1.1162790697674418</v>
      </c>
      <c r="G17" s="65">
        <f t="shared" si="5"/>
        <v>0</v>
      </c>
      <c r="H17" s="163"/>
    </row>
    <row r="18" spans="1:8" s="24" customFormat="1" ht="36" customHeight="1">
      <c r="A18" s="164" t="s">
        <v>490</v>
      </c>
      <c r="B18" s="165" t="str">
        <f>Languages!B119</f>
        <v>Visibility from elevator inside to hall/parking area
(no visibility from elevator = 0, glazed doors/walls = 3, no elevator = 0)</v>
      </c>
      <c r="C18" s="100"/>
      <c r="D18" s="23">
        <v>3</v>
      </c>
      <c r="E18" s="32" t="str">
        <f>IF(slcp=no,IF(C18=Options!B93,0,IF(C18=Options!B94,3,IF(C18=Options!B95,0,"NA"))),"NA")</f>
        <v>NA</v>
      </c>
      <c r="F18" s="65">
        <f t="shared" ref="F18" si="6">D18/$F$4*$F$6</f>
        <v>1.1162790697674418</v>
      </c>
      <c r="G18" s="65">
        <f t="shared" ref="G18" si="7">IF(ISNUMBER(E18),E18/$F$4*$F$6,0)</f>
        <v>0</v>
      </c>
      <c r="H18" s="163"/>
    </row>
    <row r="19" spans="1:8" s="24" customFormat="1" ht="24" customHeight="1">
      <c r="A19" s="469" t="s">
        <v>489</v>
      </c>
      <c r="B19" s="166" t="str">
        <f>Languages!B120</f>
        <v>Level indication:</v>
      </c>
      <c r="C19" s="22"/>
      <c r="D19" s="474">
        <v>2</v>
      </c>
      <c r="E19" s="30" t="str">
        <f>IF(ISERROR(E20+E21),"NA",E20+E21)</f>
        <v>NA</v>
      </c>
      <c r="F19" s="486">
        <f>D19/$F$4*$F$6</f>
        <v>0.7441860465116279</v>
      </c>
      <c r="G19" s="489">
        <f>IF(ISNUMBER(E19),E19/$F$4*$F$6,0)</f>
        <v>0</v>
      </c>
      <c r="H19" s="492"/>
    </row>
    <row r="20" spans="1:8" s="24" customFormat="1" ht="24" customHeight="1">
      <c r="A20" s="470"/>
      <c r="B20" s="167" t="str">
        <f>Languages!B121</f>
        <v>in elevator:</v>
      </c>
      <c r="C20" s="105"/>
      <c r="D20" s="475"/>
      <c r="E20" s="33" t="str">
        <f>IF(slcp=no,IF(C20=yes,1,IF(C20=no,0,"NA")),"NA")</f>
        <v>NA</v>
      </c>
      <c r="F20" s="487"/>
      <c r="G20" s="490"/>
      <c r="H20" s="493"/>
    </row>
    <row r="21" spans="1:8" s="24" customFormat="1" ht="24" customHeight="1">
      <c r="A21" s="471"/>
      <c r="B21" s="171" t="str">
        <f>Languages!B122</f>
        <v>in elevator foyer:</v>
      </c>
      <c r="C21" s="106"/>
      <c r="D21" s="476"/>
      <c r="E21" s="34" t="str">
        <f>IF(slcp=no,IF(C21=yes,1,IF(C21=no,0,"NA")),"NA")</f>
        <v>NA</v>
      </c>
      <c r="F21" s="488"/>
      <c r="G21" s="491"/>
      <c r="H21" s="494"/>
    </row>
    <row r="22" spans="1:8" s="24" customFormat="1" ht="36" customHeight="1">
      <c r="A22" s="164" t="s">
        <v>488</v>
      </c>
      <c r="B22" s="165" t="str">
        <f>Languages!B123</f>
        <v>Elevator control buttons at wheelchair height
•  Yes = 1, Other = 0</v>
      </c>
      <c r="C22" s="108"/>
      <c r="D22" s="23">
        <v>1</v>
      </c>
      <c r="E22" s="19" t="str">
        <f>IF(slcp=no,IF(C22=yes,1,IF(C22=no,0,"NA")),"NA")</f>
        <v>NA</v>
      </c>
      <c r="F22" s="65">
        <f>D22/$F$4*$F$6</f>
        <v>0.37209302325581395</v>
      </c>
      <c r="G22" s="65">
        <f>IF(ISNUMBER(E22),E22/$F$4*$F$6,0)</f>
        <v>0</v>
      </c>
      <c r="H22" s="163"/>
    </row>
    <row r="23" spans="1:8" ht="24.95" customHeight="1">
      <c r="A23" s="495" t="s">
        <v>487</v>
      </c>
      <c r="B23" s="140" t="str">
        <f>Languages!B124</f>
        <v>Doors directly to parking area</v>
      </c>
      <c r="C23" s="157"/>
      <c r="D23" s="449">
        <v>7</v>
      </c>
      <c r="E23" s="16" t="str">
        <f>IF(ISERROR(E24+E25+E26),"NA",SUM(E24:E26))</f>
        <v>NA</v>
      </c>
      <c r="F23" s="451">
        <f>D23/$F$4*$F$6</f>
        <v>2.6046511627906979</v>
      </c>
      <c r="G23" s="477">
        <f>IF(ISNUMBER(E23),E23/$F$4*$F$6,0)</f>
        <v>0</v>
      </c>
      <c r="H23" s="480"/>
    </row>
    <row r="24" spans="1:8" ht="24.95" customHeight="1">
      <c r="A24" s="496"/>
      <c r="B24" s="150" t="str">
        <f>Languages!B125</f>
        <v>Width (&lt;90 cm =0, &gt;=90 cm = 2)</v>
      </c>
      <c r="C24" s="102"/>
      <c r="D24" s="459"/>
      <c r="E24" s="27" t="str">
        <f>IF(slcp=no,IF(C24=Options!B100,0,IF(C24=Options!B101,2,"NA")),"NA")</f>
        <v>NA</v>
      </c>
      <c r="F24" s="458"/>
      <c r="G24" s="478"/>
      <c r="H24" s="481"/>
    </row>
    <row r="25" spans="1:8" ht="24.95" customHeight="1">
      <c r="A25" s="496"/>
      <c r="B25" s="150" t="str">
        <f>Languages!B126</f>
        <v>Emergency door, standard open (Yes=2, No= 0)</v>
      </c>
      <c r="C25" s="97"/>
      <c r="D25" s="459"/>
      <c r="E25" s="27" t="str">
        <f>IF(slcp=no,IF(C25=yes,2,IF(C25=no,0,"NA")),"NA")</f>
        <v>NA</v>
      </c>
      <c r="F25" s="458"/>
      <c r="G25" s="478"/>
      <c r="H25" s="481"/>
    </row>
    <row r="26" spans="1:8" ht="24.95" customHeight="1">
      <c r="A26" s="497"/>
      <c r="B26" s="150" t="str">
        <f>Languages!B127</f>
        <v>Visibility (Glazed door/wall = 3, No Glass = 0)</v>
      </c>
      <c r="C26" s="97"/>
      <c r="D26" s="450"/>
      <c r="E26" s="27" t="str">
        <f>IF(slcp=no,IF(C26=Options!B103,3,IF(C26=Options!B104,0,"NA")),"NA")</f>
        <v>NA</v>
      </c>
      <c r="F26" s="452"/>
      <c r="G26" s="479"/>
      <c r="H26" s="482"/>
    </row>
    <row r="27" spans="1:8" s="24" customFormat="1" ht="24" customHeight="1">
      <c r="A27" s="469" t="s">
        <v>491</v>
      </c>
      <c r="B27" s="166" t="str">
        <f>Languages!B129</f>
        <v>Stairwells (visibility and orientation)</v>
      </c>
      <c r="C27" s="22"/>
      <c r="D27" s="474">
        <v>2</v>
      </c>
      <c r="E27" s="30" t="str">
        <f>IF(ISERROR(E28+E29),"NA",E28+E29)</f>
        <v>NA</v>
      </c>
      <c r="F27" s="486">
        <f>D27/$F$4*$F$6</f>
        <v>0.7441860465116279</v>
      </c>
      <c r="G27" s="489">
        <f>IF(ISNUMBER(E27),E27/$F$4*$F$6,0)</f>
        <v>0</v>
      </c>
      <c r="H27" s="492"/>
    </row>
    <row r="28" spans="1:8" s="24" customFormat="1" ht="24" customHeight="1">
      <c r="A28" s="470"/>
      <c r="B28" s="167" t="str">
        <f>Languages!B130</f>
        <v>Clear View (Yes = 1, No = 0, Irrelevant = 1)</v>
      </c>
      <c r="C28" s="105"/>
      <c r="D28" s="475"/>
      <c r="E28" s="27" t="str">
        <f>IF(NOT(OR(slcp=yes,emvc=yes)),IF(C28=yes,1,IF(C28=no,0,IF(C28=Options!B25,1,"NA"))),"NA")</f>
        <v>NA</v>
      </c>
      <c r="F28" s="487"/>
      <c r="G28" s="490"/>
      <c r="H28" s="493"/>
    </row>
    <row r="29" spans="1:8" s="24" customFormat="1" ht="24" customHeight="1">
      <c r="A29" s="471"/>
      <c r="B29" s="170" t="str">
        <f>Languages!B131</f>
        <v>Level Indication (Yes = 1, No = 0, Irrelevant = 1)</v>
      </c>
      <c r="C29" s="106"/>
      <c r="D29" s="476"/>
      <c r="E29" s="27" t="str">
        <f>IF(NOT(OR(slcp=yes,emvc=yes)),IF(C29=yes,1,IF(C29=no,0,IF(C29=Options!B25,1,"NA"))),"NA")</f>
        <v>NA</v>
      </c>
      <c r="F29" s="488"/>
      <c r="G29" s="491"/>
      <c r="H29" s="494"/>
    </row>
    <row r="30" spans="1:8" ht="24.95" customHeight="1">
      <c r="A30" s="483" t="s">
        <v>492</v>
      </c>
      <c r="B30" s="140" t="str">
        <f>Languages!B132</f>
        <v>Stairs (incl. heightened visibility of steps)</v>
      </c>
      <c r="C30" s="157"/>
      <c r="D30" s="449">
        <v>8</v>
      </c>
      <c r="E30" s="16" t="str">
        <f>IF(ISERROR(E31+E32+E33+E34),"NA",SUM(E31:E34))</f>
        <v>NA</v>
      </c>
      <c r="F30" s="451">
        <f>D30/$F$4*$F$6</f>
        <v>2.9767441860465116</v>
      </c>
      <c r="G30" s="477">
        <f>IF(ISNUMBER(E30),E30/$F$4*$F$6,0)</f>
        <v>0</v>
      </c>
      <c r="H30" s="480"/>
    </row>
    <row r="31" spans="1:8" ht="24.95" customHeight="1">
      <c r="A31" s="484"/>
      <c r="B31" s="150" t="str">
        <f>Languages!B133</f>
        <v>Width (&lt; 1.5 m = 0, &gt; 1.5m = 2)</v>
      </c>
      <c r="C31" s="102"/>
      <c r="D31" s="459"/>
      <c r="E31" s="35" t="str">
        <f>IF(NOT(OR(slcp=yes,emvc=yes)),IF(C31=Options!B97,0,IF(C31=Options!B98,2,"NA")),"NA")</f>
        <v>NA</v>
      </c>
      <c r="F31" s="458"/>
      <c r="G31" s="478"/>
      <c r="H31" s="481"/>
    </row>
    <row r="32" spans="1:8" ht="24.95" customHeight="1">
      <c r="A32" s="484"/>
      <c r="B32" s="150" t="str">
        <f>Languages!B134</f>
        <v>Hand Rails (No hand rail =0, One Side = 1, Two sides=2)</v>
      </c>
      <c r="C32" s="97"/>
      <c r="D32" s="459"/>
      <c r="E32" s="35" t="str">
        <f>IF(NOT(OR(slcp=yes,emvc=yes)),IF(C32=Options!B106,0,IF(C32=Options!B107,1,IF(C32=Options!B108,2,"NA"))),"NA")</f>
        <v>NA</v>
      </c>
      <c r="F32" s="458"/>
      <c r="G32" s="478"/>
      <c r="H32" s="481"/>
    </row>
    <row r="33" spans="1:8" ht="24.95" customHeight="1">
      <c r="A33" s="484"/>
      <c r="B33" s="150" t="str">
        <f>Languages!B135</f>
        <v>Heightened visibility of steps for people with poor eyesight (Yes = 2, No = 0)</v>
      </c>
      <c r="C33" s="97"/>
      <c r="D33" s="459"/>
      <c r="E33" s="35" t="str">
        <f>IF(NOT(OR(slcp=yes,emvc=yes)),IF(C33=yes,2,IF(C33=no,0,"NA")),"NA")</f>
        <v>NA</v>
      </c>
      <c r="F33" s="458"/>
      <c r="G33" s="478"/>
      <c r="H33" s="481"/>
    </row>
    <row r="34" spans="1:8" ht="24.95" customHeight="1">
      <c r="A34" s="485"/>
      <c r="B34" s="150" t="str">
        <f>Languages!B136</f>
        <v>Anti-slip surfacing on stairs: (Yes = 2, No = 0)</v>
      </c>
      <c r="C34" s="97"/>
      <c r="D34" s="450"/>
      <c r="E34" s="35" t="str">
        <f>IF(NOT(OR(slcp=yes,emvc=yes)),IF(C34=yes,2,IF(C34=no,0,"NA")),"NA")</f>
        <v>NA</v>
      </c>
      <c r="F34" s="452"/>
      <c r="G34" s="479"/>
      <c r="H34" s="482"/>
    </row>
    <row r="35" spans="1:8" s="24" customFormat="1" ht="36" customHeight="1">
      <c r="A35" s="164" t="s">
        <v>493</v>
      </c>
      <c r="B35" s="165" t="str">
        <f>Languages!B137</f>
        <v>External openings in stairwell
(window/grilled to outside or car park  =2, none =0)</v>
      </c>
      <c r="C35" s="100"/>
      <c r="D35" s="23">
        <v>2</v>
      </c>
      <c r="E35" s="32" t="str">
        <f>IF(NOT(OR(slcp=yes,emvc=yes)),IF(C35=Options!B110,2,IF(C35=Options!B111,0,"NA")),"NA")</f>
        <v>NA</v>
      </c>
      <c r="F35" s="65">
        <f t="shared" ref="F35" si="8">D35/$F$4*$F$6</f>
        <v>0.7441860465116279</v>
      </c>
      <c r="G35" s="65">
        <f t="shared" ref="G35" si="9">IF(ISNUMBER(E35),E35/$F$4*$F$6,0)</f>
        <v>0</v>
      </c>
      <c r="H35" s="163"/>
    </row>
    <row r="36" spans="1:8" s="24" customFormat="1" ht="24" customHeight="1">
      <c r="A36" s="5"/>
      <c r="B36" s="143" t="str">
        <f>CONCATENATE(Tags!$B$50," ",$B$1)</f>
        <v>Subtotals Pedestrian Access</v>
      </c>
      <c r="C36" s="3"/>
      <c r="D36" s="2">
        <f>SUM(D12:D35)</f>
        <v>43</v>
      </c>
      <c r="E36" s="9">
        <f>SUM(E9,E11:E19,E22:E23,E27,E30,E35)</f>
        <v>0</v>
      </c>
      <c r="F36" s="9">
        <f>SUM(F12:F15,F16:F26,F27:F35)</f>
        <v>15.999999999999998</v>
      </c>
      <c r="G36" s="61">
        <f>SUM(G12:G35)</f>
        <v>0</v>
      </c>
      <c r="H36" s="172"/>
    </row>
    <row r="37" spans="1:8"/>
    <row r="38" spans="1:8" ht="15">
      <c r="A38" s="175" t="str">
        <f>Tags!B60</f>
        <v>Notes</v>
      </c>
    </row>
    <row r="39" spans="1:8"/>
    <row r="40" spans="1:8"/>
    <row r="41" spans="1:8"/>
    <row r="42" spans="1:8"/>
    <row r="43" spans="1:8"/>
    <row r="44" spans="1:8"/>
    <row r="45" spans="1:8"/>
    <row r="46" spans="1:8"/>
    <row r="47" spans="1:8"/>
    <row r="48" spans="1:8"/>
    <row r="49"/>
    <row r="50"/>
    <row r="51"/>
    <row r="52"/>
    <row r="53"/>
    <row r="54"/>
    <row r="55"/>
    <row r="56" hidden="1"/>
    <row r="57" hidden="1"/>
    <row r="58" hidden="1"/>
    <row r="59" hidden="1"/>
    <row r="60" hidden="1"/>
    <row r="61" hidden="1"/>
    <row r="62" hidden="1"/>
  </sheetData>
  <sheetProtection algorithmName="SHA-512" hashValue="Z8vSsSbVaDydPeX+AShD0nPOFH+liaSM0yLPk+2V0Vcqa0yRXjFDynoUZIAWCIjUPcqKWYwQhRn+mUfkeUDYVA==" saltValue="BDszl2n/2nBJ3/DVvzSacQ==" spinCount="100000" sheet="1" objects="1" scenarios="1" formatRows="0" selectLockedCells="1"/>
  <mergeCells count="25">
    <mergeCell ref="H3:H6"/>
    <mergeCell ref="G19:G21"/>
    <mergeCell ref="H19:H21"/>
    <mergeCell ref="D10:G10"/>
    <mergeCell ref="A9:B9"/>
    <mergeCell ref="A10:B10"/>
    <mergeCell ref="A19:A21"/>
    <mergeCell ref="D19:D21"/>
    <mergeCell ref="F19:F21"/>
    <mergeCell ref="A11:B11"/>
    <mergeCell ref="D23:D26"/>
    <mergeCell ref="F23:F26"/>
    <mergeCell ref="G23:G26"/>
    <mergeCell ref="H23:H26"/>
    <mergeCell ref="A30:A34"/>
    <mergeCell ref="D30:D34"/>
    <mergeCell ref="F30:F34"/>
    <mergeCell ref="G30:G34"/>
    <mergeCell ref="H30:H34"/>
    <mergeCell ref="A27:A29"/>
    <mergeCell ref="D27:D29"/>
    <mergeCell ref="F27:F29"/>
    <mergeCell ref="G27:G29"/>
    <mergeCell ref="H27:H29"/>
    <mergeCell ref="A23:A26"/>
  </mergeCells>
  <phoneticPr fontId="24" type="noConversion"/>
  <conditionalFormatting sqref="C16:C35 C10:C11">
    <cfRule type="expression" dxfId="71" priority="31">
      <formula>($C$9=yes)</formula>
    </cfRule>
  </conditionalFormatting>
  <conditionalFormatting sqref="C16:C17">
    <cfRule type="expression" dxfId="70" priority="33">
      <formula>($C$10=no)</formula>
    </cfRule>
  </conditionalFormatting>
  <conditionalFormatting sqref="C27:C35">
    <cfRule type="expression" dxfId="69" priority="34">
      <formula>$C$11=yes</formula>
    </cfRule>
  </conditionalFormatting>
  <conditionalFormatting sqref="H3:H6">
    <cfRule type="expression" dxfId="68" priority="1">
      <formula>$G$3="Fail"</formula>
    </cfRule>
    <cfRule type="expression" dxfId="67" priority="2">
      <formula>($G$3="Pass")</formula>
    </cfRule>
  </conditionalFormatting>
  <dataValidations count="1">
    <dataValidation type="list" allowBlank="1" showInputMessage="1" showErrorMessage="1" sqref="C13 C20:C22 C25 C33:C34 C15 C9:C11">
      <formula1>YesNo</formula1>
    </dataValidation>
  </dataValidations>
  <printOptions horizontalCentered="1"/>
  <pageMargins left="0.71" right="0.71" top="0.75000000000000011" bottom="0.75000000000000011" header="0.31" footer="0.31"/>
  <pageSetup paperSize="9" scale="46" orientation="portrait" horizontalDpi="300" verticalDpi="300"/>
  <headerFooter>
    <oddHeader>&amp;L&amp;"Calibri,Bold"&amp;K000000EPA - Checklist for the European Standard Parking Award</oddHeader>
    <oddFooter>&amp;L&amp;K000000[File]&amp;A</oddFooter>
  </headerFooter>
  <drawing r:id="rId1"/>
  <extLst>
    <ext xmlns:x14="http://schemas.microsoft.com/office/spreadsheetml/2009/9/main" uri="{78C0D931-6437-407d-A8EE-F0AAD7539E65}">
      <x14:conditionalFormattings>
        <x14:conditionalFormatting xmlns:xm="http://schemas.microsoft.com/office/excel/2006/main">
          <x14:cfRule type="expression" priority="6" id="{F934B3CE-6AEE-9C48-8252-5387A9F9C33A}">
            <xm:f>$D$1=Tags!$B$21</xm:f>
            <x14:dxf>
              <font>
                <color rgb="FF9C0006"/>
              </font>
            </x14:dxf>
          </x14:cfRule>
          <xm:sqref>D1</xm:sqref>
        </x14:conditionalFormatting>
        <x14:conditionalFormatting xmlns:xm="http://schemas.microsoft.com/office/excel/2006/main">
          <x14:cfRule type="expression" priority="5" id="{7A1D2118-0B6C-BA4C-B814-8B8922173353}">
            <xm:f>$D$1=Tags!$B$21</xm:f>
            <x14:dxf>
              <font>
                <color rgb="FF9C0006"/>
              </font>
            </x14:dxf>
          </x14:cfRule>
          <xm:sqref>E1</xm:sqref>
        </x14:conditionalFormatting>
      </x14:conditionalFormattings>
    </ext>
    <ext xmlns:x14="http://schemas.microsoft.com/office/spreadsheetml/2009/9/main" uri="{CCE6A557-97BC-4b89-ADB6-D9C93CAAB3DF}">
      <x14:dataValidations xmlns:xm="http://schemas.microsoft.com/office/excel/2006/main" count="11">
        <x14:dataValidation type="list" allowBlank="1" showInputMessage="1" showErrorMessage="1">
          <x14:formula1>
            <xm:f>Options!$B$93:$B$95</xm:f>
          </x14:formula1>
          <xm:sqref>C18</xm:sqref>
        </x14:dataValidation>
        <x14:dataValidation type="list" allowBlank="1" showInputMessage="1" showErrorMessage="1">
          <x14:formula1>
            <xm:f>Options!$B$73:$B$76</xm:f>
          </x14:formula1>
          <xm:sqref>C12</xm:sqref>
        </x14:dataValidation>
        <x14:dataValidation type="list" allowBlank="1" showInputMessage="1" showErrorMessage="1">
          <x14:formula1>
            <xm:f>Options!$B$78:$B$80</xm:f>
          </x14:formula1>
          <xm:sqref>C14</xm:sqref>
        </x14:dataValidation>
        <x14:dataValidation type="list" allowBlank="1" showInputMessage="1" showErrorMessage="1">
          <x14:formula1>
            <xm:f>Options!$B$110:$B$111</xm:f>
          </x14:formula1>
          <xm:sqref>C35</xm:sqref>
        </x14:dataValidation>
        <x14:dataValidation type="list" allowBlank="1" showInputMessage="1" showErrorMessage="1">
          <x14:formula1>
            <xm:f>Options!$B$106:$B$108</xm:f>
          </x14:formula1>
          <xm:sqref>C32</xm:sqref>
        </x14:dataValidation>
        <x14:dataValidation type="list" allowBlank="1" showInputMessage="1" showErrorMessage="1">
          <x14:formula1>
            <xm:f>Options!$B$97:$B$98</xm:f>
          </x14:formula1>
          <xm:sqref>C31</xm:sqref>
        </x14:dataValidation>
        <x14:dataValidation type="list" allowBlank="1" showInputMessage="1" showErrorMessage="1">
          <x14:formula1>
            <xm:f>Options!$B$103:$B$104</xm:f>
          </x14:formula1>
          <xm:sqref>C26</xm:sqref>
        </x14:dataValidation>
        <x14:dataValidation type="list" allowBlank="1" showInputMessage="1" showErrorMessage="1">
          <x14:formula1>
            <xm:f>Options!$B$100:$B$101</xm:f>
          </x14:formula1>
          <xm:sqref>C24</xm:sqref>
        </x14:dataValidation>
        <x14:dataValidation type="list" allowBlank="1" showInputMessage="1" showErrorMessage="1">
          <x14:formula1>
            <xm:f>Options!$B$89:$B$91</xm:f>
          </x14:formula1>
          <xm:sqref>C17</xm:sqref>
        </x14:dataValidation>
        <x14:dataValidation type="list" allowBlank="1" showInputMessage="1" showErrorMessage="1">
          <x14:formula1>
            <xm:f>Options!$B$86:$B$87</xm:f>
          </x14:formula1>
          <xm:sqref>C16</xm:sqref>
        </x14:dataValidation>
        <x14:dataValidation type="list" allowBlank="1" showInputMessage="1" showErrorMessage="1">
          <x14:formula1>
            <xm:f>Options!$B$23:$B$25</xm:f>
          </x14:formula1>
          <xm:sqref>C28:C29</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39</vt:i4>
      </vt:variant>
    </vt:vector>
  </HeadingPairs>
  <TitlesOfParts>
    <vt:vector size="55" baseType="lpstr">
      <vt:lpstr>General Info</vt:lpstr>
      <vt:lpstr>Evaluation</vt:lpstr>
      <vt:lpstr>1. Mandatory Conditions</vt:lpstr>
      <vt:lpstr>2. Lighting</vt:lpstr>
      <vt:lpstr>3. Entry Exit</vt:lpstr>
      <vt:lpstr>4. Parking Area</vt:lpstr>
      <vt:lpstr>5. Ramps</vt:lpstr>
      <vt:lpstr>6. Pedestrian Access</vt:lpstr>
      <vt:lpstr>7. Security equipment</vt:lpstr>
      <vt:lpstr>8. Wayfinding</vt:lpstr>
      <vt:lpstr>9. Comfort</vt:lpstr>
      <vt:lpstr>10. Energy Environment</vt:lpstr>
      <vt:lpstr>Minus</vt:lpstr>
      <vt:lpstr>Bonus</vt:lpstr>
      <vt:lpstr>Gold Award</vt:lpstr>
      <vt:lpstr>Translations</vt:lpstr>
      <vt:lpstr>changeLangMessage</vt:lpstr>
      <vt:lpstr>completionStatus</vt:lpstr>
      <vt:lpstr>'1. Mandatory Conditions'!Druckbereich</vt:lpstr>
      <vt:lpstr>'10. Energy Environment'!Druckbereich</vt:lpstr>
      <vt:lpstr>'2. Lighting'!Druckbereich</vt:lpstr>
      <vt:lpstr>'3. Entry Exit'!Druckbereich</vt:lpstr>
      <vt:lpstr>'4. Parking Area'!Druckbereich</vt:lpstr>
      <vt:lpstr>'5. Ramps'!Druckbereich</vt:lpstr>
      <vt:lpstr>'6. Pedestrian Access'!Druckbereich</vt:lpstr>
      <vt:lpstr>'7. Security equipment'!Druckbereich</vt:lpstr>
      <vt:lpstr>'8. Wayfinding'!Druckbereich</vt:lpstr>
      <vt:lpstr>'9. Comfort'!Druckbereich</vt:lpstr>
      <vt:lpstr>Bonus!Druckbereich</vt:lpstr>
      <vt:lpstr>Evaluation!Druckbereich</vt:lpstr>
      <vt:lpstr>'General Info'!Druckbereich</vt:lpstr>
      <vt:lpstr>'Gold Award'!Druckbereich</vt:lpstr>
      <vt:lpstr>Minus!Druckbereich</vt:lpstr>
      <vt:lpstr>emvc</vt:lpstr>
      <vt:lpstr>essl</vt:lpstr>
      <vt:lpstr>fail</vt:lpstr>
      <vt:lpstr>floors</vt:lpstr>
      <vt:lpstr>incomplete</vt:lpstr>
      <vt:lpstr>Language_Table</vt:lpstr>
      <vt:lpstr>LanguageRange</vt:lpstr>
      <vt:lpstr>no</vt:lpstr>
      <vt:lpstr>noramps</vt:lpstr>
      <vt:lpstr>opt_angle</vt:lpstr>
      <vt:lpstr>option4_8</vt:lpstr>
      <vt:lpstr>p3_3</vt:lpstr>
      <vt:lpstr>pass</vt:lpstr>
      <vt:lpstr>rampsCurved</vt:lpstr>
      <vt:lpstr>slcp</vt:lpstr>
      <vt:lpstr>spaces</vt:lpstr>
      <vt:lpstr>Tags!timeofday</vt:lpstr>
      <vt:lpstr>timeofday</vt:lpstr>
      <vt:lpstr>Tags!weatherconditions</vt:lpstr>
      <vt:lpstr>weatherconditions</vt:lpstr>
      <vt:lpstr>yes</vt:lpstr>
      <vt:lpstr>YesNo</vt:lpstr>
    </vt:vector>
  </TitlesOfParts>
  <Company>EPA</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ESPA Checklist</dc:title>
  <dc:creator>João Caetano Dias</dc:creator>
  <cp:lastModifiedBy>Herbert Schläpfer</cp:lastModifiedBy>
  <cp:lastPrinted>2014-11-04T11:16:53Z</cp:lastPrinted>
  <dcterms:created xsi:type="dcterms:W3CDTF">2013-06-14T13:03:40Z</dcterms:created>
  <dcterms:modified xsi:type="dcterms:W3CDTF">2020-04-13T08:44:07Z</dcterms:modified>
</cp:coreProperties>
</file>